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75" windowWidth="12015" windowHeight="11760" activeTab="0"/>
  </bookViews>
  <sheets>
    <sheet name="ER IVG Tableau1 " sheetId="1" r:id="rId1"/>
    <sheet name="ER IVG Tableau 2 " sheetId="2" r:id="rId2"/>
    <sheet name="ER IVG Graphique 1" sheetId="3" r:id="rId3"/>
    <sheet name="ER IVG Graphique 2" sheetId="4" r:id="rId4"/>
    <sheet name="ER IVG Graphique 3" sheetId="5" r:id="rId5"/>
    <sheet name="ER IVG Graphique 4" sheetId="6" r:id="rId6"/>
    <sheet name="ER IVG Graphique A" sheetId="7" r:id="rId7"/>
    <sheet name="ER IVG Graphique B" sheetId="8" r:id="rId8"/>
    <sheet name="ER IVG Graphique C" sheetId="9" r:id="rId9"/>
  </sheets>
  <definedNames/>
  <calcPr fullCalcOnLoad="1"/>
</workbook>
</file>

<file path=xl/sharedStrings.xml><?xml version="1.0" encoding="utf-8"?>
<sst xmlns="http://schemas.openxmlformats.org/spreadsheetml/2006/main" count="192" uniqueCount="143">
  <si>
    <t>région</t>
  </si>
  <si>
    <t>IVG hospitalières SAE</t>
  </si>
  <si>
    <t>forfaits remboursés en centre de santé, établissement de PMI et de planification familiale</t>
  </si>
  <si>
    <t>forfaits remboursés en ville</t>
  </si>
  <si>
    <t>total IVG réalisées</t>
  </si>
  <si>
    <t>IVG pour 1000 femmes de 15-49 ans</t>
  </si>
  <si>
    <t>IVG mineures pour 1000 femmes de 15 à 17 ans</t>
  </si>
  <si>
    <t>Ile de France</t>
  </si>
  <si>
    <t>Champagne-Ardennes</t>
  </si>
  <si>
    <t>Picardie</t>
  </si>
  <si>
    <t>Haute normandie</t>
  </si>
  <si>
    <t>Centre</t>
  </si>
  <si>
    <t>Basse normandie</t>
  </si>
  <si>
    <t>Bourgogne</t>
  </si>
  <si>
    <t>Nord pas de calais</t>
  </si>
  <si>
    <t>Lorraine</t>
  </si>
  <si>
    <t>Alsace</t>
  </si>
  <si>
    <t>Franche-comté</t>
  </si>
  <si>
    <t>Pays de la loire</t>
  </si>
  <si>
    <t>Bretagne</t>
  </si>
  <si>
    <t>Poitou-charentes</t>
  </si>
  <si>
    <t>Aquitaine</t>
  </si>
  <si>
    <t>Midi-pyrénées</t>
  </si>
  <si>
    <t>Limousin</t>
  </si>
  <si>
    <t>Rhônes alpes</t>
  </si>
  <si>
    <t>Auvergne</t>
  </si>
  <si>
    <t>Languedoc-roussillon</t>
  </si>
  <si>
    <t>Provence-Alpes-Côte d'Azur</t>
  </si>
  <si>
    <t>Corse</t>
  </si>
  <si>
    <t>France métropolitaine</t>
  </si>
  <si>
    <t>Guadeloupe</t>
  </si>
  <si>
    <t>Martinique</t>
  </si>
  <si>
    <t>Guyane</t>
  </si>
  <si>
    <t>Réunion</t>
  </si>
  <si>
    <t>Mayotte</t>
  </si>
  <si>
    <t>nd</t>
  </si>
  <si>
    <t>total DOM (hors Mayotte)</t>
  </si>
  <si>
    <t>France entière (hors Mayotte)</t>
  </si>
  <si>
    <t>corrigé après réponse ars franche comté et languedoc roussillon</t>
  </si>
  <si>
    <t>non compris les 145 IVG du finess 970 100 186 de St Martin</t>
  </si>
  <si>
    <t>pmsi2013</t>
  </si>
  <si>
    <t>sae2013 adm</t>
  </si>
  <si>
    <t>IVG hospitalières SAE2012</t>
  </si>
  <si>
    <t>femmes 15-49 ans</t>
  </si>
  <si>
    <t>ivg mineures cnamts</t>
  </si>
  <si>
    <t>ivg mineures pmsi</t>
  </si>
  <si>
    <t>femmes 15 -17 ans</t>
  </si>
  <si>
    <t xml:space="preserve"> </t>
  </si>
  <si>
    <t>&lt;15 ans</t>
  </si>
  <si>
    <t>15-17 ans</t>
  </si>
  <si>
    <t>18-19 ans</t>
  </si>
  <si>
    <t>âge inc</t>
  </si>
  <si>
    <t>total</t>
  </si>
  <si>
    <t>15-49</t>
  </si>
  <si>
    <t>date</t>
  </si>
  <si>
    <t>données brutes</t>
  </si>
  <si>
    <t>données cvs-cjos</t>
  </si>
  <si>
    <t>tendance</t>
  </si>
  <si>
    <t>forfaits FMV dds</t>
  </si>
  <si>
    <t>janvier</t>
  </si>
  <si>
    <t>février</t>
  </si>
  <si>
    <t>mars</t>
  </si>
  <si>
    <t>avril</t>
  </si>
  <si>
    <t>mai</t>
  </si>
  <si>
    <t>juin</t>
  </si>
  <si>
    <t>juillet</t>
  </si>
  <si>
    <t>août</t>
  </si>
  <si>
    <t>septembre</t>
  </si>
  <si>
    <t>octobre</t>
  </si>
  <si>
    <t>novembre</t>
  </si>
  <si>
    <t>décembre</t>
  </si>
  <si>
    <t>secteur public</t>
  </si>
  <si>
    <t>IVG chirurgicales</t>
  </si>
  <si>
    <t>IVG médicamenteuses</t>
  </si>
  <si>
    <t>IVG médicamenteuses en ville</t>
  </si>
  <si>
    <t>IVG médicamenteuses en centres de santé ou CPEF</t>
  </si>
  <si>
    <t>région résidence</t>
  </si>
  <si>
    <t>reg2</t>
  </si>
  <si>
    <t>pmsi 2013 region hospitalisation</t>
  </si>
  <si>
    <t>IVG p 1000 femmes</t>
  </si>
  <si>
    <t>ICA</t>
  </si>
  <si>
    <t>norlevo</t>
  </si>
  <si>
    <t>=+levonergestrel</t>
  </si>
  <si>
    <t>+ellaone</t>
  </si>
  <si>
    <t>nombre de boite vendues</t>
  </si>
  <si>
    <t>Métropole</t>
  </si>
  <si>
    <t>femmes 15-49 en 2013majmars 2015</t>
  </si>
  <si>
    <t>ancienne version</t>
  </si>
  <si>
    <t>Ile-de-France</t>
  </si>
  <si>
    <t>Champagne-Ardenne</t>
  </si>
  <si>
    <t>Haute-Normandie</t>
  </si>
  <si>
    <t>Basse-Normandie</t>
  </si>
  <si>
    <t>Franche-Comté</t>
  </si>
  <si>
    <t>Poitou-Charentes</t>
  </si>
  <si>
    <t>Midi-Pyrénées</t>
  </si>
  <si>
    <t>Rhône-Alpes</t>
  </si>
  <si>
    <t>Languedoc-Roussillon</t>
  </si>
  <si>
    <t>La Réunion</t>
  </si>
  <si>
    <t>Total DOM (hors Mayotte)</t>
  </si>
  <si>
    <t>Régions</t>
  </si>
  <si>
    <t>Pays de la Loire</t>
  </si>
  <si>
    <t>Secteur public</t>
  </si>
  <si>
    <t>Secteur privé</t>
  </si>
  <si>
    <t>DOM</t>
  </si>
  <si>
    <t>Ensemble des établissements</t>
  </si>
  <si>
    <t>20-24 ans</t>
  </si>
  <si>
    <t>25-29 ans</t>
  </si>
  <si>
    <t>30-34 ans</t>
  </si>
  <si>
    <t>35-39 ans</t>
  </si>
  <si>
    <t>40-44 ans</t>
  </si>
  <si>
    <t>45-49 ans</t>
  </si>
  <si>
    <t>50 ou plus</t>
  </si>
  <si>
    <t>Total régime général uniquement pour les données cnamts</t>
  </si>
  <si>
    <t>Tous régimes pour les données cnamts</t>
  </si>
  <si>
    <t>Guadeloupe*</t>
  </si>
  <si>
    <t>Nord – Pas-de-Calais</t>
  </si>
  <si>
    <t>Provence – Alpes-Côte d'Azur</t>
  </si>
  <si>
    <t>Tableau 1.
Les IVG en 2013 selon les régions</t>
  </si>
  <si>
    <t>SAE : Statistique annuelle des établissements de santé.
(*) non compris le centre hospitalier de Saint-Martin.
Sources • DREES (SAE), ATIH (PMSI), INSEE (ELP), CNAM-TS (DCIR).</t>
  </si>
  <si>
    <t>Total
des IVG
réalisées</t>
  </si>
  <si>
    <t>Forfaits
remboursés
en ville</t>
  </si>
  <si>
    <t>IVG
hospitalières
(SAE)</t>
  </si>
  <si>
    <r>
      <t xml:space="preserve">CPEF : Centre de planification ou d’éducation familiale.
</t>
    </r>
    <r>
      <rPr>
        <b/>
        <sz val="8"/>
        <color indexed="8"/>
        <rFont val="Arial Narrow"/>
        <family val="2"/>
      </rPr>
      <t>Note</t>
    </r>
    <r>
      <rPr>
        <sz val="8"/>
        <color indexed="8"/>
        <rFont val="Arial Narrow"/>
        <family val="2"/>
      </rPr>
      <t xml:space="preserve"> • La pratique des IVG médicamenteuses en centre de santé, CPEF est possible depuis mai 2009. Le nombre de forfaits a été actualisé depuis les données publiées précédemment.
</t>
    </r>
    <r>
      <rPr>
        <b/>
        <sz val="8"/>
        <color indexed="8"/>
        <rFont val="Arial Narrow"/>
        <family val="2"/>
      </rPr>
      <t>Champ</t>
    </r>
    <r>
      <rPr>
        <sz val="8"/>
        <color indexed="8"/>
        <rFont val="Arial Narrow"/>
        <family val="2"/>
      </rPr>
      <t xml:space="preserve"> • France entière, hors Mayotte.
</t>
    </r>
    <r>
      <rPr>
        <b/>
        <sz val="8"/>
        <color indexed="8"/>
        <rFont val="Arial Narrow"/>
        <family val="2"/>
      </rPr>
      <t>Sources</t>
    </r>
    <r>
      <rPr>
        <sz val="8"/>
        <color indexed="8"/>
        <rFont val="Arial Narrow"/>
        <family val="2"/>
      </rPr>
      <t xml:space="preserve"> • DREES (SAE), CNAM-TS (DCIR, nombre de forfaits médicamenteux de ville remboursés pour le régime général jusqu’en 2009 et tous régimes depuis 2010, selon la date de liquidation jusqu’en 2009 et selon la date de l’acte à partir de 2010, selon le lieu de l’IVG jusqu’en 2013 et selon la résidence de la femme en 2014).</t>
    </r>
  </si>
  <si>
    <t xml:space="preserve">Tableau 2.
Les IVG selon la méthode et le secteur d'exercice </t>
  </si>
  <si>
    <t>Graphique 1.
Évolution du nombre des IVG depuis 1990</t>
  </si>
  <si>
    <r>
      <t xml:space="preserve">CNAMTS : Caisse nationale de l’assurance maladie des travailleurs salariés.
</t>
    </r>
    <r>
      <rPr>
        <b/>
        <sz val="8"/>
        <color indexed="8"/>
        <rFont val="Arial Narrow"/>
        <family val="2"/>
      </rPr>
      <t>Champ</t>
    </r>
    <r>
      <rPr>
        <sz val="8"/>
        <color indexed="8"/>
        <rFont val="Arial Narrow"/>
        <family val="2"/>
      </rPr>
      <t xml:space="preserve"> • France entière, hors Mayotte.
</t>
    </r>
    <r>
      <rPr>
        <b/>
        <sz val="8"/>
        <color indexed="8"/>
        <rFont val="Arial Narrow"/>
        <family val="2"/>
      </rPr>
      <t>Sources</t>
    </r>
    <r>
      <rPr>
        <sz val="8"/>
        <color indexed="8"/>
        <rFont val="Arial Narrow"/>
        <family val="2"/>
      </rPr>
      <t xml:space="preserve"> • DREES (SAE), ATIH (PMSI), INSEE (ELP), CNAMTS (DCIR, nombre de forfaits médicamenteux de ville remboursés pour le régime général jusqu’en 2009 et tous régimes depuis 2010, selon la date de liquidation jusqu’en 2009, et selon la date de l’acte à partir de 2010).</t>
    </r>
  </si>
  <si>
    <r>
      <rPr>
        <b/>
        <sz val="8"/>
        <color indexed="8"/>
        <rFont val="Arial Narrow"/>
        <family val="2"/>
      </rPr>
      <t xml:space="preserve">Champ </t>
    </r>
    <r>
      <rPr>
        <sz val="8"/>
        <color indexed="8"/>
        <rFont val="Arial Narrow"/>
        <family val="2"/>
      </rPr>
      <t xml:space="preserve">• France entière, hors Mayotte.
</t>
    </r>
    <r>
      <rPr>
        <b/>
        <sz val="8"/>
        <color indexed="8"/>
        <rFont val="Arial Narrow"/>
        <family val="2"/>
      </rPr>
      <t xml:space="preserve">Sopurces </t>
    </r>
    <r>
      <rPr>
        <sz val="8"/>
        <color indexed="8"/>
        <rFont val="Arial Narrow"/>
        <family val="2"/>
      </rPr>
      <t>• DREES (SAE), ATIH (PMSI),INSEE (ELP), CNAM-TS (DCIR, nombre de forfaits médicamenteux de ville remboursés pour tous les régimes, depuis 2010, selon la date de l’acte).</t>
    </r>
  </si>
  <si>
    <t>Graphique 2.
Évolution du taux de recours selon l'âge</t>
  </si>
  <si>
    <t>Graphique 3.
Évolution du taux de recours à l'IVG depuis 1990</t>
  </si>
  <si>
    <t>Taux de recours</t>
  </si>
  <si>
    <r>
      <rPr>
        <b/>
        <sz val="8"/>
        <color indexed="8"/>
        <rFont val="Arial Narrow"/>
        <family val="2"/>
      </rPr>
      <t>Champ</t>
    </r>
    <r>
      <rPr>
        <sz val="8"/>
        <color indexed="8"/>
        <rFont val="Arial Narrow"/>
        <family val="2"/>
      </rPr>
      <t xml:space="preserve"> • France entière, hors Mayotte.
</t>
    </r>
    <r>
      <rPr>
        <b/>
        <sz val="8"/>
        <color indexed="8"/>
        <rFont val="Arial Narrow"/>
        <family val="2"/>
      </rPr>
      <t xml:space="preserve">Sopurces </t>
    </r>
    <r>
      <rPr>
        <sz val="8"/>
        <color indexed="8"/>
        <rFont val="Arial Narrow"/>
        <family val="2"/>
      </rPr>
      <t>• DREES (SAE), ATIH (PMSI), INSEE (ELP), CNAM-TS (DCIR).</t>
    </r>
  </si>
  <si>
    <t xml:space="preserve">  </t>
  </si>
  <si>
    <t>Graphique 4.
Nombre de boîtes de contraception d'urgence vendues</t>
  </si>
  <si>
    <r>
      <rPr>
        <b/>
        <sz val="8"/>
        <color indexed="8"/>
        <rFont val="Arial Narrow"/>
        <family val="2"/>
      </rPr>
      <t>Note</t>
    </r>
    <r>
      <rPr>
        <sz val="8"/>
        <color indexed="8"/>
        <rFont val="Arial Narrow"/>
        <family val="2"/>
      </rPr>
      <t xml:space="preserve"> • Certaines boîtes peuvent être vendues et ne pas être utilisées.
</t>
    </r>
    <r>
      <rPr>
        <b/>
        <sz val="8"/>
        <color indexed="8"/>
        <rFont val="Arial Narrow"/>
        <family val="2"/>
      </rPr>
      <t>Champ</t>
    </r>
    <r>
      <rPr>
        <sz val="8"/>
        <color indexed="8"/>
        <rFont val="Arial Narrow"/>
        <family val="2"/>
      </rPr>
      <t xml:space="preserve"> • France métropolitaine.
</t>
    </r>
    <r>
      <rPr>
        <b/>
        <sz val="8"/>
        <color indexed="8"/>
        <rFont val="Arial Narrow"/>
        <family val="2"/>
      </rPr>
      <t>Sopurces</t>
    </r>
    <r>
      <rPr>
        <sz val="8"/>
        <color indexed="8"/>
        <rFont val="Arial Narrow"/>
        <family val="2"/>
      </rPr>
      <t xml:space="preserve"> • Données GERS, calculs DREES (nombre de boîtes
de Norlevo®, Levonorgestrel®, Ellaone® vendues).</t>
    </r>
  </si>
  <si>
    <t>Graphique A.
Les IVG hors établissements hospitaliers</t>
  </si>
  <si>
    <r>
      <rPr>
        <b/>
        <sz val="8"/>
        <color indexed="8"/>
        <rFont val="Arial Narrow"/>
        <family val="2"/>
      </rPr>
      <t>Champ</t>
    </r>
    <r>
      <rPr>
        <sz val="8"/>
        <color indexed="8"/>
        <rFont val="Arial Narrow"/>
        <family val="2"/>
      </rPr>
      <t xml:space="preserve"> • France métropolitaine.
</t>
    </r>
    <r>
      <rPr>
        <b/>
        <sz val="8"/>
        <color indexed="8"/>
        <rFont val="Arial Narrow"/>
        <family val="2"/>
      </rPr>
      <t>Sources</t>
    </r>
    <r>
      <rPr>
        <sz val="8"/>
        <color indexed="8"/>
        <rFont val="Arial Narrow"/>
        <family val="2"/>
      </rPr>
      <t xml:space="preserve"> • ATIH (PMSI), CNAMTS (DCIR, nombre de forfaits médicamenteux de ville remboursés pour tous les régimes depuis 2010, selon le lieu de l’IVG jusqu’en 2013 et selon la résidence de la femme pour 2014).</t>
    </r>
  </si>
  <si>
    <t>Graphiques B.
Les IVG en établissements hospitaliers</t>
  </si>
  <si>
    <r>
      <rPr>
        <b/>
        <sz val="8"/>
        <color indexed="8"/>
        <rFont val="Arial Narrow"/>
        <family val="2"/>
      </rPr>
      <t>Champ</t>
    </r>
    <r>
      <rPr>
        <sz val="8"/>
        <color indexed="8"/>
        <rFont val="Arial Narrow"/>
        <family val="2"/>
      </rPr>
      <t xml:space="preserve"> • France métropolitaine.
</t>
    </r>
    <r>
      <rPr>
        <b/>
        <sz val="8"/>
        <color indexed="8"/>
        <rFont val="Arial Narrow"/>
        <family val="2"/>
      </rPr>
      <t>Sources</t>
    </r>
    <r>
      <rPr>
        <sz val="8"/>
        <color indexed="8"/>
        <rFont val="Arial Narrow"/>
        <family val="2"/>
      </rPr>
      <t xml:space="preserve"> • ATIH (PMSI).</t>
    </r>
  </si>
  <si>
    <t>Graphique C.
Évolution mensuelle des IVG</t>
  </si>
  <si>
    <r>
      <rPr>
        <b/>
        <sz val="8"/>
        <color indexed="8"/>
        <rFont val="Arial Narrow"/>
        <family val="2"/>
      </rPr>
      <t>Champ</t>
    </r>
    <r>
      <rPr>
        <sz val="8"/>
        <color indexed="8"/>
        <rFont val="Arial Narrow"/>
        <family val="2"/>
      </rPr>
      <t xml:space="preserve"> • France métropolitaine.
</t>
    </r>
    <r>
      <rPr>
        <b/>
        <sz val="8"/>
        <color indexed="8"/>
        <rFont val="Arial Narrow"/>
        <family val="2"/>
      </rPr>
      <t>Sources</t>
    </r>
    <r>
      <rPr>
        <sz val="8"/>
        <color indexed="8"/>
        <rFont val="Arial Narrow"/>
        <family val="2"/>
      </rPr>
      <t xml:space="preserve"> • ATIH (PMSI), CNAMTS (DCIR, nombre de forfaits médicamenteux
de ville remboursés pour tous les régimes depuis 2010, selon le lieu
de l’IVG jusqu’en 2013 et selon la résidence de la femme pour 2014).</t>
    </r>
  </si>
  <si>
    <t>Forfaits remboursés en centres de santé, établissements de PMI et de planification familiale</t>
  </si>
  <si>
    <t>IVG (pour
1 000 femmes
de 15 à 49 ans)</t>
  </si>
  <si>
    <t>IVG (pour
1 000 femmes
mineures
(de 15 à 17 ans)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</si>
</sst>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40C]dddd\ d\ mmmm\ yyyy"/>
  </numFmts>
  <fonts count="81">
    <font>
      <sz val="11"/>
      <color theme="1"/>
      <name val="Calibri"/>
      <family val="2"/>
    </font>
    <font>
      <sz val="11"/>
      <color indexed="8"/>
      <name val="Calibri"/>
      <family val="2"/>
    </font>
    <font>
      <sz val="10"/>
      <name val="Arial"/>
      <family val="2"/>
    </font>
    <font>
      <sz val="11"/>
      <name val="Arial"/>
      <family val="2"/>
    </font>
    <font>
      <b/>
      <sz val="10"/>
      <name val="Arial"/>
      <family val="2"/>
    </font>
    <font>
      <sz val="8"/>
      <name val="Arial"/>
      <family val="2"/>
    </font>
    <font>
      <sz val="8"/>
      <name val="Arial Narrow"/>
      <family val="2"/>
    </font>
    <font>
      <b/>
      <sz val="8"/>
      <name val="Arial Narrow"/>
      <family val="2"/>
    </font>
    <font>
      <sz val="8"/>
      <color indexed="8"/>
      <name val="Arial Narrow"/>
      <family val="2"/>
    </font>
    <font>
      <b/>
      <sz val="8"/>
      <color indexed="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sz val="10"/>
      <color indexed="8"/>
      <name val="Arial"/>
      <family val="2"/>
    </font>
    <font>
      <b/>
      <sz val="10"/>
      <color indexed="8"/>
      <name val="Arial"/>
      <family val="2"/>
    </font>
    <font>
      <sz val="10"/>
      <color indexed="8"/>
      <name val="SAS Monospace"/>
      <family val="3"/>
    </font>
    <font>
      <b/>
      <sz val="11"/>
      <color indexed="8"/>
      <name val="Arial"/>
      <family val="2"/>
    </font>
    <font>
      <b/>
      <sz val="10"/>
      <color indexed="8"/>
      <name val="SAS Monospace"/>
      <family val="3"/>
    </font>
    <font>
      <sz val="11"/>
      <color indexed="10"/>
      <name val="Arial"/>
      <family val="2"/>
    </font>
    <font>
      <b/>
      <sz val="10"/>
      <color indexed="10"/>
      <name val="SAS Monospace"/>
      <family val="3"/>
    </font>
    <font>
      <b/>
      <sz val="10"/>
      <color indexed="10"/>
      <name val="Arial"/>
      <family val="2"/>
    </font>
    <font>
      <sz val="10"/>
      <color indexed="8"/>
      <name val="Calibri"/>
      <family val="2"/>
    </font>
    <font>
      <sz val="9"/>
      <color indexed="8"/>
      <name val="Calibri"/>
      <family val="2"/>
    </font>
    <font>
      <b/>
      <sz val="8"/>
      <color indexed="10"/>
      <name val="Arial"/>
      <family val="2"/>
    </font>
    <font>
      <b/>
      <sz val="11"/>
      <color indexed="10"/>
      <name val="Calibri"/>
      <family val="2"/>
    </font>
    <font>
      <sz val="9"/>
      <color indexed="10"/>
      <name val="Calibri"/>
      <family val="2"/>
    </font>
    <font>
      <sz val="10"/>
      <color indexed="10"/>
      <name val="Calibri"/>
      <family val="2"/>
    </font>
    <font>
      <sz val="10"/>
      <name val="Calibri"/>
      <family val="2"/>
    </font>
    <font>
      <b/>
      <sz val="11"/>
      <name val="Calibri"/>
      <family val="2"/>
    </font>
    <font>
      <sz val="11"/>
      <name val="Calibri"/>
      <family val="2"/>
    </font>
    <font>
      <b/>
      <sz val="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sz val="10"/>
      <color theme="1"/>
      <name val="Arial"/>
      <family val="2"/>
    </font>
    <font>
      <sz val="10"/>
      <color rgb="FF000000"/>
      <name val="Arial"/>
      <family val="2"/>
    </font>
    <font>
      <b/>
      <sz val="10"/>
      <color theme="1"/>
      <name val="Arial"/>
      <family val="2"/>
    </font>
    <font>
      <sz val="10"/>
      <color rgb="FF000000"/>
      <name val="SAS Monospace"/>
      <family val="3"/>
    </font>
    <font>
      <b/>
      <sz val="11"/>
      <color rgb="FF000000"/>
      <name val="Arial"/>
      <family val="2"/>
    </font>
    <font>
      <sz val="11"/>
      <color rgb="FF000000"/>
      <name val="Arial"/>
      <family val="2"/>
    </font>
    <font>
      <b/>
      <sz val="10"/>
      <color rgb="FF000000"/>
      <name val="SAS Monospace"/>
      <family val="3"/>
    </font>
    <font>
      <sz val="11"/>
      <color rgb="FFFF0000"/>
      <name val="Arial"/>
      <family val="2"/>
    </font>
    <font>
      <b/>
      <sz val="10"/>
      <color rgb="FFFF0000"/>
      <name val="SAS Monospace"/>
      <family val="3"/>
    </font>
    <font>
      <b/>
      <sz val="10"/>
      <color rgb="FFFF0000"/>
      <name val="Arial"/>
      <family val="2"/>
    </font>
    <font>
      <sz val="10"/>
      <color theme="1"/>
      <name val="Calibri"/>
      <family val="2"/>
    </font>
    <font>
      <sz val="9"/>
      <color theme="1"/>
      <name val="Calibri"/>
      <family val="2"/>
    </font>
    <font>
      <b/>
      <sz val="8"/>
      <color rgb="FFFF0000"/>
      <name val="Arial"/>
      <family val="2"/>
    </font>
    <font>
      <b/>
      <sz val="11"/>
      <color rgb="FFFF0000"/>
      <name val="Calibri"/>
      <family val="2"/>
    </font>
    <font>
      <sz val="9"/>
      <color rgb="FFFF0000"/>
      <name val="Calibri"/>
      <family val="2"/>
    </font>
    <font>
      <sz val="10"/>
      <color rgb="FFFF0000"/>
      <name val="Calibri"/>
      <family val="2"/>
    </font>
    <font>
      <sz val="11"/>
      <color rgb="FF000000"/>
      <name val="Calibri"/>
      <family val="2"/>
    </font>
    <font>
      <sz val="8"/>
      <color theme="1"/>
      <name val="Arial Narrow"/>
      <family val="2"/>
    </font>
    <font>
      <b/>
      <sz val="8"/>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top/>
      <bottom/>
    </border>
    <border>
      <left style="thin"/>
      <right style="thin"/>
      <top/>
      <bottom/>
    </border>
    <border>
      <left/>
      <right style="medium"/>
      <top/>
      <bottom/>
    </border>
    <border>
      <left style="medium"/>
      <right style="thin"/>
      <top/>
      <bottom/>
    </border>
    <border>
      <left style="thin"/>
      <right style="thin"/>
      <top/>
      <bottom style="thin"/>
    </border>
    <border>
      <left style="thin"/>
      <right style="thin"/>
      <top style="thin"/>
      <bottom style="thin"/>
    </border>
    <border>
      <left/>
      <right/>
      <top style="thin"/>
      <bottom style="thin"/>
    </border>
    <border>
      <left style="thin"/>
      <right style="thin"/>
      <top style="thin"/>
      <bottom/>
    </border>
    <border>
      <left style="medium"/>
      <right/>
      <top style="thin"/>
      <bottom style="thin"/>
    </border>
    <border>
      <left style="thin"/>
      <right/>
      <top style="thin"/>
      <bottom style="thin"/>
    </border>
    <border>
      <left style="medium"/>
      <right/>
      <top style="thin"/>
      <bottom style="medium"/>
    </border>
    <border>
      <left/>
      <right style="thin"/>
      <top/>
      <bottom style="thin"/>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style="hair"/>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right/>
      <top style="hair"/>
      <bottom/>
    </border>
    <border>
      <left/>
      <right/>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91">
    <xf numFmtId="0" fontId="0" fillId="0" borderId="0" xfId="0" applyFont="1" applyAlignment="1">
      <alignment/>
    </xf>
    <xf numFmtId="0" fontId="61" fillId="0" borderId="0" xfId="0" applyFont="1" applyBorder="1" applyAlignment="1">
      <alignment/>
    </xf>
    <xf numFmtId="0" fontId="61" fillId="0" borderId="0" xfId="0" applyFont="1" applyAlignment="1">
      <alignment/>
    </xf>
    <xf numFmtId="3" fontId="2" fillId="0" borderId="0" xfId="45" applyNumberFormat="1" applyFont="1" applyBorder="1" applyAlignment="1">
      <alignment vertical="center"/>
    </xf>
    <xf numFmtId="3" fontId="3" fillId="0" borderId="0" xfId="0" applyNumberFormat="1" applyFont="1" applyBorder="1" applyAlignment="1">
      <alignment/>
    </xf>
    <xf numFmtId="164" fontId="61" fillId="0" borderId="0" xfId="0" applyNumberFormat="1" applyFont="1" applyFill="1" applyBorder="1" applyAlignment="1">
      <alignment/>
    </xf>
    <xf numFmtId="164" fontId="61" fillId="0" borderId="0" xfId="50" applyNumberFormat="1" applyFont="1" applyFill="1" applyBorder="1" applyAlignment="1">
      <alignment/>
    </xf>
    <xf numFmtId="0" fontId="62" fillId="0" borderId="10" xfId="0" applyFont="1" applyBorder="1" applyAlignment="1">
      <alignment/>
    </xf>
    <xf numFmtId="0" fontId="62" fillId="0" borderId="11" xfId="0" applyFont="1" applyBorder="1" applyAlignment="1">
      <alignment horizontal="center" wrapText="1"/>
    </xf>
    <xf numFmtId="0" fontId="62" fillId="0" borderId="12" xfId="0" applyFont="1" applyBorder="1" applyAlignment="1">
      <alignment horizontal="center" wrapText="1"/>
    </xf>
    <xf numFmtId="0" fontId="62" fillId="0" borderId="13" xfId="0" applyFont="1" applyBorder="1" applyAlignment="1">
      <alignment horizontal="center" wrapText="1"/>
    </xf>
    <xf numFmtId="0" fontId="62" fillId="0" borderId="14" xfId="0" applyFont="1" applyBorder="1" applyAlignment="1">
      <alignment/>
    </xf>
    <xf numFmtId="3" fontId="63" fillId="0" borderId="15" xfId="0" applyNumberFormat="1" applyFont="1" applyBorder="1" applyAlignment="1">
      <alignment vertical="top" wrapText="1"/>
    </xf>
    <xf numFmtId="3" fontId="2" fillId="0" borderId="16" xfId="45" applyNumberFormat="1" applyFont="1" applyBorder="1" applyAlignment="1">
      <alignment vertical="center"/>
    </xf>
    <xf numFmtId="3" fontId="2" fillId="0" borderId="17" xfId="0" applyNumberFormat="1" applyFont="1" applyBorder="1" applyAlignment="1">
      <alignment/>
    </xf>
    <xf numFmtId="164" fontId="62" fillId="0" borderId="18" xfId="0" applyNumberFormat="1" applyFont="1" applyFill="1" applyBorder="1" applyAlignment="1">
      <alignment/>
    </xf>
    <xf numFmtId="164" fontId="62" fillId="0" borderId="17" xfId="50" applyNumberFormat="1" applyFont="1" applyFill="1" applyBorder="1" applyAlignment="1">
      <alignment/>
    </xf>
    <xf numFmtId="0" fontId="62" fillId="0" borderId="16" xfId="0" applyFont="1" applyFill="1" applyBorder="1" applyAlignment="1">
      <alignment/>
    </xf>
    <xf numFmtId="0" fontId="62" fillId="0" borderId="16" xfId="0" applyFont="1" applyBorder="1" applyAlignment="1">
      <alignment/>
    </xf>
    <xf numFmtId="3" fontId="2" fillId="0" borderId="15" xfId="0" applyNumberFormat="1" applyFont="1" applyFill="1" applyBorder="1" applyAlignment="1">
      <alignment vertical="top" wrapText="1"/>
    </xf>
    <xf numFmtId="164" fontId="2" fillId="0" borderId="18" xfId="0" applyNumberFormat="1" applyFont="1" applyFill="1" applyBorder="1" applyAlignment="1">
      <alignment/>
    </xf>
    <xf numFmtId="3" fontId="63" fillId="0" borderId="15" xfId="0" applyNumberFormat="1" applyFont="1" applyFill="1" applyBorder="1" applyAlignment="1">
      <alignment vertical="top" wrapText="1"/>
    </xf>
    <xf numFmtId="3" fontId="2" fillId="0" borderId="19" xfId="45" applyNumberFormat="1" applyFont="1" applyBorder="1" applyAlignment="1">
      <alignment vertical="center"/>
    </xf>
    <xf numFmtId="0" fontId="4" fillId="0" borderId="20" xfId="0" applyFont="1" applyBorder="1" applyAlignment="1">
      <alignment/>
    </xf>
    <xf numFmtId="3" fontId="4" fillId="0" borderId="21" xfId="0" applyNumberFormat="1" applyFont="1" applyBorder="1" applyAlignment="1">
      <alignment/>
    </xf>
    <xf numFmtId="164" fontId="64" fillId="0" borderId="20" xfId="0" applyNumberFormat="1" applyFont="1" applyFill="1" applyBorder="1" applyAlignment="1">
      <alignment/>
    </xf>
    <xf numFmtId="164" fontId="64" fillId="0" borderId="20" xfId="50" applyNumberFormat="1" applyFont="1" applyFill="1" applyBorder="1" applyAlignment="1">
      <alignment/>
    </xf>
    <xf numFmtId="0" fontId="62" fillId="0" borderId="15" xfId="0" applyFont="1" applyBorder="1" applyAlignment="1">
      <alignment/>
    </xf>
    <xf numFmtId="3" fontId="62" fillId="0" borderId="15" xfId="0" applyNumberFormat="1" applyFont="1" applyFill="1" applyBorder="1" applyAlignment="1">
      <alignment/>
    </xf>
    <xf numFmtId="0" fontId="62" fillId="0" borderId="22" xfId="0" applyFont="1" applyFill="1" applyBorder="1" applyAlignment="1">
      <alignment/>
    </xf>
    <xf numFmtId="3" fontId="62" fillId="0" borderId="15" xfId="0" applyNumberFormat="1" applyFont="1" applyBorder="1" applyAlignment="1">
      <alignment/>
    </xf>
    <xf numFmtId="164" fontId="62" fillId="0" borderId="18" xfId="0" applyNumberFormat="1" applyFont="1" applyFill="1" applyBorder="1" applyAlignment="1">
      <alignment horizontal="right"/>
    </xf>
    <xf numFmtId="0" fontId="4" fillId="0" borderId="23" xfId="0" applyFont="1" applyBorder="1" applyAlignment="1">
      <alignment/>
    </xf>
    <xf numFmtId="3" fontId="4" fillId="0" borderId="20" xfId="0" applyNumberFormat="1" applyFont="1" applyFill="1" applyBorder="1" applyAlignment="1">
      <alignment/>
    </xf>
    <xf numFmtId="0" fontId="64" fillId="0" borderId="20" xfId="0" applyFont="1" applyFill="1" applyBorder="1" applyAlignment="1">
      <alignment/>
    </xf>
    <xf numFmtId="3" fontId="4" fillId="0" borderId="24" xfId="0" applyNumberFormat="1" applyFont="1" applyBorder="1" applyAlignment="1">
      <alignment/>
    </xf>
    <xf numFmtId="0" fontId="4" fillId="0" borderId="25" xfId="0" applyFont="1" applyBorder="1" applyAlignment="1">
      <alignment/>
    </xf>
    <xf numFmtId="164" fontId="64" fillId="0" borderId="26" xfId="50" applyNumberFormat="1" applyFont="1" applyFill="1" applyBorder="1" applyAlignment="1">
      <alignment/>
    </xf>
    <xf numFmtId="0" fontId="62" fillId="0" borderId="0" xfId="0" applyFont="1" applyAlignment="1">
      <alignment/>
    </xf>
    <xf numFmtId="0" fontId="61" fillId="0" borderId="0" xfId="0" applyFont="1" applyFill="1" applyBorder="1" applyAlignment="1">
      <alignment/>
    </xf>
    <xf numFmtId="3" fontId="61" fillId="0" borderId="0" xfId="0" applyNumberFormat="1" applyFont="1" applyAlignment="1">
      <alignment/>
    </xf>
    <xf numFmtId="3" fontId="0" fillId="0" borderId="0" xfId="0" applyNumberFormat="1" applyAlignment="1">
      <alignment/>
    </xf>
    <xf numFmtId="0" fontId="62" fillId="0" borderId="0" xfId="0" applyFont="1" applyFill="1" applyBorder="1" applyAlignment="1">
      <alignment horizontal="center" wrapText="1"/>
    </xf>
    <xf numFmtId="0" fontId="65" fillId="0" borderId="0" xfId="0" applyFont="1" applyAlignment="1">
      <alignment/>
    </xf>
    <xf numFmtId="0" fontId="0" fillId="0" borderId="0" xfId="0" applyBorder="1" applyAlignment="1">
      <alignment/>
    </xf>
    <xf numFmtId="0" fontId="66" fillId="0" borderId="0" xfId="0" applyFont="1" applyBorder="1" applyAlignment="1">
      <alignment horizontal="center" vertical="top" wrapText="1"/>
    </xf>
    <xf numFmtId="0" fontId="67" fillId="0" borderId="0" xfId="0" applyFont="1" applyBorder="1" applyAlignment="1">
      <alignment vertical="top" wrapText="1"/>
    </xf>
    <xf numFmtId="0" fontId="65" fillId="0" borderId="0" xfId="0" applyFont="1" applyBorder="1" applyAlignment="1">
      <alignment/>
    </xf>
    <xf numFmtId="0" fontId="68" fillId="0" borderId="0" xfId="0" applyFont="1" applyBorder="1" applyAlignment="1">
      <alignment/>
    </xf>
    <xf numFmtId="0" fontId="65" fillId="33" borderId="0" xfId="0" applyFont="1" applyFill="1" applyBorder="1" applyAlignment="1">
      <alignment/>
    </xf>
    <xf numFmtId="0" fontId="69" fillId="0" borderId="0" xfId="0" applyFont="1" applyBorder="1" applyAlignment="1">
      <alignment vertical="top" wrapText="1"/>
    </xf>
    <xf numFmtId="0" fontId="70" fillId="0" borderId="0" xfId="0" applyFont="1" applyBorder="1" applyAlignment="1">
      <alignment/>
    </xf>
    <xf numFmtId="0" fontId="67" fillId="0" borderId="0" xfId="0" applyFont="1" applyFill="1" applyBorder="1" applyAlignment="1">
      <alignment vertical="top" wrapText="1"/>
    </xf>
    <xf numFmtId="3" fontId="71" fillId="0" borderId="20" xfId="0" applyNumberFormat="1" applyFont="1" applyBorder="1" applyAlignment="1">
      <alignment/>
    </xf>
    <xf numFmtId="14" fontId="0" fillId="0" borderId="0" xfId="0" applyNumberFormat="1" applyAlignment="1">
      <alignment/>
    </xf>
    <xf numFmtId="0" fontId="72" fillId="0" borderId="0" xfId="0" applyFont="1" applyAlignment="1">
      <alignment/>
    </xf>
    <xf numFmtId="9" fontId="72" fillId="0" borderId="0" xfId="50" applyFont="1" applyAlignment="1">
      <alignment/>
    </xf>
    <xf numFmtId="0" fontId="59" fillId="0" borderId="0" xfId="0" applyFont="1" applyAlignment="1">
      <alignment/>
    </xf>
    <xf numFmtId="9" fontId="0" fillId="0" borderId="0" xfId="50" applyFont="1" applyAlignment="1">
      <alignment/>
    </xf>
    <xf numFmtId="0" fontId="73" fillId="0" borderId="0" xfId="0" applyFont="1" applyAlignment="1">
      <alignment/>
    </xf>
    <xf numFmtId="0" fontId="73" fillId="0" borderId="0" xfId="0" applyFont="1" applyBorder="1" applyAlignment="1">
      <alignment/>
    </xf>
    <xf numFmtId="9" fontId="73" fillId="0" borderId="0" xfId="50" applyFont="1" applyBorder="1" applyAlignment="1">
      <alignment/>
    </xf>
    <xf numFmtId="0" fontId="0" fillId="0" borderId="0" xfId="0" applyFill="1" applyAlignment="1">
      <alignment/>
    </xf>
    <xf numFmtId="0" fontId="5" fillId="0" borderId="0" xfId="0" applyFont="1" applyAlignment="1">
      <alignment/>
    </xf>
    <xf numFmtId="164" fontId="0" fillId="0" borderId="0" xfId="0" applyNumberFormat="1" applyAlignment="1">
      <alignment/>
    </xf>
    <xf numFmtId="9" fontId="73" fillId="0" borderId="0" xfId="50" applyFont="1" applyAlignment="1">
      <alignment/>
    </xf>
    <xf numFmtId="0" fontId="0" fillId="0" borderId="0" xfId="0" applyFill="1" applyBorder="1" applyAlignment="1">
      <alignment/>
    </xf>
    <xf numFmtId="1" fontId="74" fillId="0" borderId="0" xfId="0" applyNumberFormat="1" applyFont="1" applyBorder="1" applyAlignment="1">
      <alignment/>
    </xf>
    <xf numFmtId="0" fontId="46" fillId="0" borderId="0" xfId="0" applyFont="1" applyFill="1" applyAlignment="1">
      <alignment/>
    </xf>
    <xf numFmtId="0" fontId="46" fillId="0" borderId="0" xfId="0" applyFont="1" applyAlignment="1">
      <alignment/>
    </xf>
    <xf numFmtId="0" fontId="75" fillId="0" borderId="0" xfId="0" applyFont="1" applyAlignment="1">
      <alignment/>
    </xf>
    <xf numFmtId="9" fontId="76" fillId="0" borderId="0" xfId="50" applyFont="1" applyBorder="1" applyAlignment="1">
      <alignment/>
    </xf>
    <xf numFmtId="0" fontId="77" fillId="0" borderId="0" xfId="0" applyFont="1" applyAlignment="1">
      <alignment/>
    </xf>
    <xf numFmtId="0" fontId="78" fillId="0" borderId="0" xfId="0" applyFont="1" applyAlignment="1">
      <alignment horizontal="justify"/>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xf>
    <xf numFmtId="0" fontId="79" fillId="0" borderId="0" xfId="0" applyFont="1" applyAlignment="1">
      <alignment horizontal="center" vertical="center"/>
    </xf>
    <xf numFmtId="0" fontId="43" fillId="0" borderId="0" xfId="0" applyFont="1" applyBorder="1" applyAlignment="1">
      <alignment/>
    </xf>
    <xf numFmtId="3" fontId="43" fillId="0" borderId="0" xfId="0" applyNumberFormat="1" applyFont="1" applyBorder="1" applyAlignment="1">
      <alignment/>
    </xf>
    <xf numFmtId="0" fontId="2" fillId="0" borderId="0" xfId="0" applyFont="1" applyFill="1" applyBorder="1" applyAlignment="1">
      <alignment/>
    </xf>
    <xf numFmtId="3" fontId="4" fillId="0" borderId="0" xfId="0" applyNumberFormat="1" applyFont="1" applyFill="1" applyBorder="1" applyAlignment="1">
      <alignment/>
    </xf>
    <xf numFmtId="164" fontId="64" fillId="0" borderId="0" xfId="50" applyNumberFormat="1" applyFont="1" applyFill="1" applyBorder="1" applyAlignment="1">
      <alignment/>
    </xf>
    <xf numFmtId="164" fontId="64" fillId="0" borderId="0" xfId="0" applyNumberFormat="1" applyFont="1" applyFill="1" applyBorder="1" applyAlignment="1">
      <alignment/>
    </xf>
    <xf numFmtId="3" fontId="71" fillId="0" borderId="0" xfId="0" applyNumberFormat="1" applyFont="1" applyBorder="1" applyAlignment="1">
      <alignment/>
    </xf>
    <xf numFmtId="0" fontId="4" fillId="0" borderId="0" xfId="0" applyFont="1" applyBorder="1" applyAlignment="1">
      <alignment/>
    </xf>
    <xf numFmtId="164" fontId="7" fillId="0" borderId="27" xfId="50" applyNumberFormat="1" applyFont="1" applyFill="1" applyBorder="1" applyAlignment="1">
      <alignment horizontal="right" indent="4"/>
    </xf>
    <xf numFmtId="164" fontId="7" fillId="0" borderId="27" xfId="0" applyNumberFormat="1" applyFont="1" applyFill="1" applyBorder="1" applyAlignment="1">
      <alignment horizontal="right" indent="4"/>
    </xf>
    <xf numFmtId="3" fontId="7" fillId="0" borderId="27" xfId="0" applyNumberFormat="1" applyFont="1" applyBorder="1" applyAlignment="1">
      <alignment horizontal="right" indent="4"/>
    </xf>
    <xf numFmtId="3" fontId="7" fillId="0" borderId="27" xfId="0" applyNumberFormat="1" applyFont="1" applyFill="1" applyBorder="1" applyAlignment="1">
      <alignment horizontal="right" indent="4"/>
    </xf>
    <xf numFmtId="0" fontId="7" fillId="0" borderId="27" xfId="0" applyFont="1" applyBorder="1" applyAlignment="1">
      <alignment horizontal="left"/>
    </xf>
    <xf numFmtId="164" fontId="6" fillId="0" borderId="27" xfId="50" applyNumberFormat="1" applyFont="1" applyFill="1" applyBorder="1" applyAlignment="1">
      <alignment horizontal="right" indent="4"/>
    </xf>
    <xf numFmtId="164" fontId="6" fillId="0" borderId="27" xfId="0" applyNumberFormat="1" applyFont="1" applyFill="1" applyBorder="1" applyAlignment="1">
      <alignment horizontal="right" indent="4"/>
    </xf>
    <xf numFmtId="3" fontId="6" fillId="0" borderId="27" xfId="0" applyNumberFormat="1" applyFont="1" applyBorder="1" applyAlignment="1">
      <alignment horizontal="right" indent="4"/>
    </xf>
    <xf numFmtId="3" fontId="6" fillId="0" borderId="27" xfId="0" applyNumberFormat="1" applyFont="1" applyFill="1" applyBorder="1" applyAlignment="1">
      <alignment horizontal="right" indent="4"/>
    </xf>
    <xf numFmtId="0" fontId="7" fillId="0" borderId="27" xfId="0" applyFont="1" applyFill="1" applyBorder="1" applyAlignment="1">
      <alignment horizontal="right" indent="4"/>
    </xf>
    <xf numFmtId="164" fontId="6" fillId="0" borderId="28" xfId="50" applyNumberFormat="1" applyFont="1" applyFill="1" applyBorder="1" applyAlignment="1">
      <alignment horizontal="right" indent="4"/>
    </xf>
    <xf numFmtId="164" fontId="6" fillId="0" borderId="28" xfId="0" applyNumberFormat="1" applyFont="1" applyFill="1" applyBorder="1" applyAlignment="1">
      <alignment horizontal="right" indent="4"/>
    </xf>
    <xf numFmtId="3" fontId="6" fillId="0" borderId="28" xfId="0" applyNumberFormat="1" applyFont="1" applyBorder="1" applyAlignment="1">
      <alignment horizontal="right" indent="4"/>
    </xf>
    <xf numFmtId="3" fontId="6" fillId="0" borderId="28" xfId="45" applyNumberFormat="1" applyFont="1" applyBorder="1" applyAlignment="1">
      <alignment horizontal="right" indent="4"/>
    </xf>
    <xf numFmtId="0" fontId="6" fillId="0" borderId="28" xfId="0" applyFont="1" applyFill="1" applyBorder="1" applyAlignment="1">
      <alignment horizontal="right" indent="4"/>
    </xf>
    <xf numFmtId="3" fontId="6" fillId="0" borderId="28" xfId="0" applyNumberFormat="1" applyFont="1" applyFill="1" applyBorder="1" applyAlignment="1">
      <alignment horizontal="right" indent="4"/>
    </xf>
    <xf numFmtId="0" fontId="6" fillId="0" borderId="28" xfId="0" applyFont="1" applyBorder="1" applyAlignment="1">
      <alignment horizontal="left"/>
    </xf>
    <xf numFmtId="164" fontId="6" fillId="0" borderId="29" xfId="50" applyNumberFormat="1" applyFont="1" applyFill="1" applyBorder="1" applyAlignment="1">
      <alignment horizontal="right" indent="4"/>
    </xf>
    <xf numFmtId="164" fontId="6" fillId="0" borderId="29" xfId="0" applyNumberFormat="1" applyFont="1" applyFill="1" applyBorder="1" applyAlignment="1">
      <alignment horizontal="right" indent="4"/>
    </xf>
    <xf numFmtId="3" fontId="6" fillId="0" borderId="29" xfId="0" applyNumberFormat="1" applyFont="1" applyBorder="1" applyAlignment="1">
      <alignment horizontal="right" indent="4"/>
    </xf>
    <xf numFmtId="3" fontId="6" fillId="0" borderId="29" xfId="45" applyNumberFormat="1" applyFont="1" applyBorder="1" applyAlignment="1">
      <alignment horizontal="right" indent="4"/>
    </xf>
    <xf numFmtId="0" fontId="6" fillId="0" borderId="29" xfId="0" applyFont="1" applyFill="1" applyBorder="1" applyAlignment="1">
      <alignment horizontal="right" indent="4"/>
    </xf>
    <xf numFmtId="3" fontId="6" fillId="0" borderId="29" xfId="0" applyNumberFormat="1" applyFont="1" applyFill="1" applyBorder="1" applyAlignment="1">
      <alignment horizontal="right" indent="4"/>
    </xf>
    <xf numFmtId="0" fontId="6" fillId="0" borderId="29" xfId="0" applyFont="1" applyBorder="1" applyAlignment="1">
      <alignment horizontal="left"/>
    </xf>
    <xf numFmtId="164" fontId="7" fillId="0" borderId="30" xfId="50" applyNumberFormat="1" applyFont="1" applyFill="1" applyBorder="1" applyAlignment="1">
      <alignment horizontal="right" indent="4"/>
    </xf>
    <xf numFmtId="164" fontId="7" fillId="0" borderId="30" xfId="0" applyNumberFormat="1" applyFont="1" applyFill="1" applyBorder="1" applyAlignment="1">
      <alignment horizontal="right" indent="4"/>
    </xf>
    <xf numFmtId="3" fontId="7" fillId="0" borderId="30" xfId="0" applyNumberFormat="1" applyFont="1" applyBorder="1" applyAlignment="1">
      <alignment horizontal="right" indent="4"/>
    </xf>
    <xf numFmtId="0" fontId="7" fillId="0" borderId="30" xfId="0" applyFont="1" applyBorder="1" applyAlignment="1">
      <alignment horizontal="left"/>
    </xf>
    <xf numFmtId="3" fontId="6" fillId="0" borderId="28" xfId="0" applyNumberFormat="1" applyFont="1" applyBorder="1" applyAlignment="1">
      <alignment horizontal="right" wrapText="1" indent="4"/>
    </xf>
    <xf numFmtId="3" fontId="6" fillId="0" borderId="29" xfId="0" applyNumberFormat="1" applyFont="1" applyBorder="1" applyAlignment="1">
      <alignment horizontal="right" wrapText="1" indent="4"/>
    </xf>
    <xf numFmtId="0" fontId="6" fillId="0" borderId="29" xfId="0" applyFont="1" applyBorder="1" applyAlignment="1">
      <alignment horizontal="right" indent="4"/>
    </xf>
    <xf numFmtId="164" fontId="6" fillId="0" borderId="30" xfId="50" applyNumberFormat="1" applyFont="1" applyFill="1" applyBorder="1" applyAlignment="1">
      <alignment horizontal="right" indent="4"/>
    </xf>
    <xf numFmtId="164" fontId="6" fillId="0" borderId="30" xfId="0" applyNumberFormat="1" applyFont="1" applyFill="1" applyBorder="1" applyAlignment="1">
      <alignment horizontal="right" indent="4"/>
    </xf>
    <xf numFmtId="3" fontId="6" fillId="0" borderId="30" xfId="0" applyNumberFormat="1" applyFont="1" applyBorder="1" applyAlignment="1">
      <alignment horizontal="right" indent="4"/>
    </xf>
    <xf numFmtId="3" fontId="6" fillId="0" borderId="30" xfId="45" applyNumberFormat="1" applyFont="1" applyBorder="1" applyAlignment="1">
      <alignment horizontal="right" indent="4"/>
    </xf>
    <xf numFmtId="3" fontId="6" fillId="0" borderId="30" xfId="0" applyNumberFormat="1" applyFont="1" applyBorder="1" applyAlignment="1">
      <alignment horizontal="right" wrapText="1" indent="4"/>
    </xf>
    <xf numFmtId="0" fontId="6" fillId="0" borderId="30" xfId="0" applyFont="1" applyBorder="1" applyAlignment="1">
      <alignment horizontal="left"/>
    </xf>
    <xf numFmtId="0" fontId="7" fillId="0" borderId="27" xfId="0" applyFont="1" applyBorder="1" applyAlignment="1">
      <alignment horizontal="center" vertical="center" wrapText="1"/>
    </xf>
    <xf numFmtId="0" fontId="7" fillId="0" borderId="27" xfId="0" applyFont="1" applyBorder="1" applyAlignment="1">
      <alignment horizontal="center" vertical="center"/>
    </xf>
    <xf numFmtId="0" fontId="79" fillId="0" borderId="27" xfId="0" applyFont="1" applyBorder="1" applyAlignment="1">
      <alignment horizontal="center" vertical="center"/>
    </xf>
    <xf numFmtId="0" fontId="80" fillId="0" borderId="27" xfId="0" applyFont="1" applyBorder="1" applyAlignment="1">
      <alignment horizontal="center" vertical="center"/>
    </xf>
    <xf numFmtId="0" fontId="79" fillId="0" borderId="27" xfId="0" applyFont="1" applyBorder="1" applyAlignment="1">
      <alignment horizontal="left" vertical="center"/>
    </xf>
    <xf numFmtId="0" fontId="79" fillId="0" borderId="28" xfId="0" applyFont="1" applyBorder="1" applyAlignment="1">
      <alignment horizontal="left" vertical="center"/>
    </xf>
    <xf numFmtId="0" fontId="79" fillId="0" borderId="30" xfId="0" applyFont="1" applyBorder="1" applyAlignment="1">
      <alignment horizontal="left" vertical="center"/>
    </xf>
    <xf numFmtId="0" fontId="79" fillId="0" borderId="0" xfId="0" applyFont="1" applyAlignment="1">
      <alignment horizontal="right" vertical="center"/>
    </xf>
    <xf numFmtId="0" fontId="79" fillId="0" borderId="0" xfId="0" applyFont="1" applyBorder="1" applyAlignment="1">
      <alignment horizontal="right" vertical="center"/>
    </xf>
    <xf numFmtId="3" fontId="79" fillId="0" borderId="30" xfId="0" applyNumberFormat="1" applyFont="1" applyBorder="1" applyAlignment="1">
      <alignment horizontal="right" vertical="center" indent="1"/>
    </xf>
    <xf numFmtId="0" fontId="79" fillId="0" borderId="30" xfId="0" applyFont="1" applyBorder="1" applyAlignment="1">
      <alignment horizontal="right" vertical="center" indent="1"/>
    </xf>
    <xf numFmtId="3" fontId="79" fillId="0" borderId="28" xfId="0" applyNumberFormat="1" applyFont="1" applyBorder="1" applyAlignment="1">
      <alignment horizontal="right" vertical="center" indent="1"/>
    </xf>
    <xf numFmtId="0" fontId="79" fillId="0" borderId="28" xfId="0" applyFont="1" applyBorder="1" applyAlignment="1">
      <alignment horizontal="right" vertical="center" indent="1"/>
    </xf>
    <xf numFmtId="0" fontId="79" fillId="0" borderId="27" xfId="0" applyFont="1" applyBorder="1" applyAlignment="1">
      <alignment horizontal="right" vertical="center" indent="1"/>
    </xf>
    <xf numFmtId="3" fontId="79" fillId="34" borderId="27" xfId="0" applyNumberFormat="1" applyFont="1" applyFill="1" applyBorder="1" applyAlignment="1">
      <alignment horizontal="right" vertical="center" indent="1"/>
    </xf>
    <xf numFmtId="3" fontId="6" fillId="34" borderId="27" xfId="0" applyNumberFormat="1" applyFont="1" applyFill="1" applyBorder="1" applyAlignment="1">
      <alignment horizontal="right" vertical="center" indent="1"/>
    </xf>
    <xf numFmtId="3" fontId="79" fillId="0" borderId="27" xfId="0" applyNumberFormat="1" applyFont="1" applyBorder="1" applyAlignment="1">
      <alignment horizontal="right" vertical="center" indent="1"/>
    </xf>
    <xf numFmtId="0" fontId="79" fillId="34" borderId="27" xfId="0" applyFont="1" applyFill="1" applyBorder="1" applyAlignment="1">
      <alignment horizontal="right" vertical="center" indent="1"/>
    </xf>
    <xf numFmtId="164" fontId="79" fillId="0" borderId="27" xfId="0" applyNumberFormat="1" applyFont="1" applyBorder="1" applyAlignment="1">
      <alignment horizontal="center" vertical="center"/>
    </xf>
    <xf numFmtId="0" fontId="79" fillId="0" borderId="31" xfId="0" applyFont="1" applyBorder="1" applyAlignment="1">
      <alignment horizontal="left" vertical="center"/>
    </xf>
    <xf numFmtId="1" fontId="79" fillId="0" borderId="27" xfId="0" applyNumberFormat="1" applyFont="1" applyBorder="1" applyAlignment="1">
      <alignment horizontal="left" vertical="center"/>
    </xf>
    <xf numFmtId="2" fontId="79" fillId="0" borderId="27" xfId="0" applyNumberFormat="1" applyFont="1" applyBorder="1" applyAlignment="1">
      <alignment horizontal="center" vertical="center"/>
    </xf>
    <xf numFmtId="164" fontId="80" fillId="0" borderId="27" xfId="0" applyNumberFormat="1" applyFont="1" applyBorder="1" applyAlignment="1">
      <alignment horizontal="center" vertical="center"/>
    </xf>
    <xf numFmtId="1" fontId="80" fillId="0" borderId="27" xfId="0" applyNumberFormat="1" applyFont="1" applyBorder="1" applyAlignment="1">
      <alignment horizontal="left" vertical="center"/>
    </xf>
    <xf numFmtId="1" fontId="80" fillId="0" borderId="27" xfId="0" applyNumberFormat="1" applyFont="1" applyBorder="1" applyAlignment="1">
      <alignment horizontal="center" vertical="center"/>
    </xf>
    <xf numFmtId="0" fontId="0" fillId="0" borderId="0" xfId="0" applyAlignment="1">
      <alignment wrapText="1"/>
    </xf>
    <xf numFmtId="164" fontId="79" fillId="0" borderId="30" xfId="0" applyNumberFormat="1" applyFont="1" applyBorder="1" applyAlignment="1">
      <alignment horizontal="center" vertical="center"/>
    </xf>
    <xf numFmtId="164" fontId="79" fillId="0" borderId="28" xfId="0" applyNumberFormat="1" applyFont="1" applyBorder="1" applyAlignment="1">
      <alignment horizontal="center" vertical="center"/>
    </xf>
    <xf numFmtId="164" fontId="79" fillId="0" borderId="29" xfId="0" applyNumberFormat="1" applyFont="1" applyBorder="1" applyAlignment="1">
      <alignment horizontal="center" vertical="center"/>
    </xf>
    <xf numFmtId="0" fontId="79" fillId="0" borderId="29" xfId="0" applyFont="1" applyBorder="1" applyAlignment="1">
      <alignment horizontal="left" vertical="center"/>
    </xf>
    <xf numFmtId="0" fontId="79" fillId="0" borderId="0" xfId="0" applyFont="1" applyAlignment="1">
      <alignment/>
    </xf>
    <xf numFmtId="0" fontId="79" fillId="0" borderId="27" xfId="0" applyFont="1" applyBorder="1" applyAlignment="1">
      <alignment/>
    </xf>
    <xf numFmtId="3" fontId="79" fillId="0" borderId="27" xfId="0" applyNumberFormat="1" applyFont="1" applyBorder="1" applyAlignment="1">
      <alignment horizontal="right" vertical="center" indent="6"/>
    </xf>
    <xf numFmtId="0" fontId="80" fillId="0" borderId="0" xfId="0" applyFont="1" applyAlignment="1">
      <alignment horizontal="right" indent="1"/>
    </xf>
    <xf numFmtId="0" fontId="80" fillId="0" borderId="0" xfId="0" applyFont="1" applyAlignment="1">
      <alignment horizontal="right" wrapText="1" indent="1"/>
    </xf>
    <xf numFmtId="14" fontId="79" fillId="0" borderId="27" xfId="0" applyNumberFormat="1" applyFont="1" applyBorder="1" applyAlignment="1">
      <alignment horizontal="center" vertical="center"/>
    </xf>
    <xf numFmtId="0" fontId="6" fillId="0" borderId="27" xfId="0" applyFont="1" applyFill="1" applyBorder="1" applyAlignment="1">
      <alignment horizontal="center" vertical="center"/>
    </xf>
    <xf numFmtId="14" fontId="79" fillId="0" borderId="27" xfId="0" applyNumberFormat="1" applyFont="1" applyBorder="1" applyAlignment="1">
      <alignment horizontal="left" vertical="center"/>
    </xf>
    <xf numFmtId="0" fontId="79" fillId="0" borderId="31" xfId="0" applyFont="1" applyBorder="1" applyAlignment="1">
      <alignment horizontal="center" vertical="center"/>
    </xf>
    <xf numFmtId="0" fontId="79" fillId="0" borderId="32"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xf>
    <xf numFmtId="0" fontId="6" fillId="0" borderId="0" xfId="0" applyFont="1" applyBorder="1" applyAlignment="1">
      <alignment horizontal="left" wrapText="1"/>
    </xf>
    <xf numFmtId="0" fontId="6" fillId="0" borderId="0" xfId="0" applyFont="1" applyBorder="1" applyAlignment="1">
      <alignment horizontal="left"/>
    </xf>
    <xf numFmtId="0" fontId="64" fillId="0" borderId="0" xfId="0" applyFont="1" applyBorder="1" applyAlignment="1">
      <alignment horizontal="left" vertical="top" wrapText="1"/>
    </xf>
    <xf numFmtId="0" fontId="64" fillId="0" borderId="0" xfId="0" applyFont="1" applyBorder="1" applyAlignment="1">
      <alignment horizontal="left" vertical="top"/>
    </xf>
    <xf numFmtId="0" fontId="79" fillId="0" borderId="0" xfId="0" applyFont="1" applyBorder="1" applyAlignment="1">
      <alignment horizontal="left" wrapText="1"/>
    </xf>
    <xf numFmtId="0" fontId="79" fillId="0" borderId="0" xfId="0" applyFont="1" applyBorder="1" applyAlignment="1">
      <alignment horizontal="left"/>
    </xf>
    <xf numFmtId="0" fontId="80" fillId="0" borderId="33" xfId="0" applyFont="1" applyBorder="1" applyAlignment="1">
      <alignment horizontal="center" vertical="center"/>
    </xf>
    <xf numFmtId="0" fontId="80" fillId="0" borderId="34"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9" fillId="0" borderId="33" xfId="0" applyFont="1" applyBorder="1" applyAlignment="1">
      <alignment horizontal="left" vertical="center"/>
    </xf>
    <xf numFmtId="0" fontId="79" fillId="0" borderId="34" xfId="0" applyFont="1" applyBorder="1" applyAlignment="1">
      <alignment horizontal="left" vertical="center"/>
    </xf>
    <xf numFmtId="0" fontId="79" fillId="0" borderId="33" xfId="0" applyFont="1" applyBorder="1" applyAlignment="1">
      <alignment horizontal="left" vertical="center" wrapText="1"/>
    </xf>
    <xf numFmtId="0" fontId="79" fillId="0" borderId="34" xfId="0" applyFont="1" applyBorder="1" applyAlignment="1">
      <alignment horizontal="left" vertical="center" wrapText="1"/>
    </xf>
    <xf numFmtId="0" fontId="79" fillId="0" borderId="35" xfId="0" applyFont="1" applyBorder="1" applyAlignment="1">
      <alignment horizontal="left" wrapText="1"/>
    </xf>
    <xf numFmtId="0" fontId="79" fillId="0" borderId="35" xfId="0" applyFont="1" applyBorder="1" applyAlignment="1">
      <alignment horizontal="left"/>
    </xf>
    <xf numFmtId="1" fontId="79" fillId="0" borderId="35" xfId="0" applyNumberFormat="1" applyFont="1" applyBorder="1" applyAlignment="1">
      <alignment horizontal="left" wrapText="1"/>
    </xf>
    <xf numFmtId="1" fontId="79" fillId="0" borderId="35" xfId="0" applyNumberFormat="1" applyFont="1" applyBorder="1" applyAlignment="1">
      <alignment horizontal="left"/>
    </xf>
    <xf numFmtId="0" fontId="64" fillId="0" borderId="0" xfId="0" applyFont="1" applyAlignment="1">
      <alignment horizontal="left" vertical="top" wrapText="1"/>
    </xf>
    <xf numFmtId="0" fontId="0" fillId="0" borderId="0" xfId="0" applyAlignment="1">
      <alignment horizontal="center"/>
    </xf>
    <xf numFmtId="0" fontId="64" fillId="0" borderId="36" xfId="0" applyFont="1" applyBorder="1" applyAlignment="1">
      <alignment horizontal="left" vertical="top" wrapText="1"/>
    </xf>
    <xf numFmtId="0" fontId="79" fillId="0" borderId="0" xfId="0" applyFont="1" applyAlignment="1">
      <alignment horizontal="left" wrapText="1"/>
    </xf>
    <xf numFmtId="0" fontId="79" fillId="0" borderId="0" xfId="0" applyFont="1" applyAlignment="1">
      <alignment horizontal="left"/>
    </xf>
    <xf numFmtId="0" fontId="64" fillId="0" borderId="36" xfId="0" applyFont="1" applyBorder="1" applyAlignment="1">
      <alignment horizontal="left" vertical="top"/>
    </xf>
    <xf numFmtId="0" fontId="64" fillId="0" borderId="0" xfId="0" applyFont="1" applyAlignment="1">
      <alignment horizontal="left" vertical="top"/>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98"/>
  <sheetViews>
    <sheetView showGridLines="0" tabSelected="1" zoomScalePageLayoutView="0" workbookViewId="0" topLeftCell="I1">
      <selection activeCell="AI13" sqref="AI13"/>
    </sheetView>
  </sheetViews>
  <sheetFormatPr defaultColWidth="11.421875" defaultRowHeight="15"/>
  <cols>
    <col min="1" max="7" width="5.28125" style="0" hidden="1" customWidth="1"/>
    <col min="8" max="8" width="4.140625" style="0" hidden="1" customWidth="1"/>
    <col min="9" max="9" width="4.140625" style="0" customWidth="1"/>
    <col min="10" max="10" width="22.57421875" style="0" customWidth="1"/>
    <col min="11" max="16" width="15.7109375" style="0" customWidth="1"/>
    <col min="17" max="28" width="11.421875" style="0" hidden="1" customWidth="1"/>
  </cols>
  <sheetData>
    <row r="1" spans="10:16" ht="15">
      <c r="J1" s="75"/>
      <c r="K1" s="76"/>
      <c r="L1" s="76"/>
      <c r="M1" s="76"/>
      <c r="N1" s="76"/>
      <c r="O1" s="76"/>
      <c r="P1" s="76"/>
    </row>
    <row r="2" spans="1:16" ht="33.75" customHeight="1" thickBot="1">
      <c r="A2" s="1"/>
      <c r="B2" s="2">
        <v>2012</v>
      </c>
      <c r="C2" s="2"/>
      <c r="D2" s="3"/>
      <c r="E2" s="4"/>
      <c r="F2" s="5"/>
      <c r="G2" s="6"/>
      <c r="J2" s="164" t="s">
        <v>117</v>
      </c>
      <c r="K2" s="165"/>
      <c r="L2" s="165"/>
      <c r="M2" s="165"/>
      <c r="N2" s="165"/>
      <c r="O2" s="165"/>
      <c r="P2" s="165"/>
    </row>
    <row r="3" spans="1:28" ht="74.25" customHeight="1" thickBot="1">
      <c r="A3" s="7" t="s">
        <v>0</v>
      </c>
      <c r="B3" s="8" t="s">
        <v>1</v>
      </c>
      <c r="C3" s="9" t="s">
        <v>2</v>
      </c>
      <c r="D3" s="9" t="s">
        <v>3</v>
      </c>
      <c r="E3" s="9" t="s">
        <v>4</v>
      </c>
      <c r="F3" s="8" t="s">
        <v>5</v>
      </c>
      <c r="G3" s="10" t="s">
        <v>6</v>
      </c>
      <c r="J3" s="125" t="s">
        <v>99</v>
      </c>
      <c r="K3" s="124" t="s">
        <v>121</v>
      </c>
      <c r="L3" s="124" t="s">
        <v>140</v>
      </c>
      <c r="M3" s="124" t="s">
        <v>120</v>
      </c>
      <c r="N3" s="124" t="s">
        <v>119</v>
      </c>
      <c r="O3" s="124" t="s">
        <v>141</v>
      </c>
      <c r="P3" s="124" t="s">
        <v>142</v>
      </c>
      <c r="R3" s="8" t="s">
        <v>42</v>
      </c>
      <c r="S3" s="42" t="s">
        <v>40</v>
      </c>
      <c r="T3" s="42" t="s">
        <v>41</v>
      </c>
      <c r="U3" s="42" t="s">
        <v>78</v>
      </c>
      <c r="V3" s="42" t="s">
        <v>43</v>
      </c>
      <c r="W3" s="42" t="s">
        <v>46</v>
      </c>
      <c r="X3" s="42" t="s">
        <v>44</v>
      </c>
      <c r="Y3" s="42" t="s">
        <v>45</v>
      </c>
      <c r="AB3" s="42" t="s">
        <v>86</v>
      </c>
    </row>
    <row r="4" spans="1:29" ht="15">
      <c r="A4" s="11" t="s">
        <v>7</v>
      </c>
      <c r="B4" s="12">
        <v>40756</v>
      </c>
      <c r="C4" s="13">
        <v>751</v>
      </c>
      <c r="D4" s="13">
        <v>12502</v>
      </c>
      <c r="E4" s="14">
        <v>54009</v>
      </c>
      <c r="F4" s="15">
        <v>17.956098670273246</v>
      </c>
      <c r="G4" s="16">
        <v>11.3387104254237</v>
      </c>
      <c r="J4" s="123" t="s">
        <v>88</v>
      </c>
      <c r="K4" s="122">
        <f aca="true" t="shared" si="0" ref="K4:K25">+T4</f>
        <v>41765</v>
      </c>
      <c r="L4" s="121">
        <v>1166</v>
      </c>
      <c r="M4" s="121">
        <v>13431</v>
      </c>
      <c r="N4" s="120">
        <f aca="true" t="shared" si="1" ref="N4:N33">SUM(K4:M4)</f>
        <v>56362</v>
      </c>
      <c r="O4" s="119">
        <f aca="true" t="shared" si="2" ref="O4:O30">1000*N4/AB4</f>
        <v>18.819288485181172</v>
      </c>
      <c r="P4" s="118">
        <f aca="true" t="shared" si="3" ref="P4:P30">1000*(X4+Y4*(T4/S4))/W4</f>
        <v>10.967748735006662</v>
      </c>
      <c r="Q4" s="58">
        <f aca="true" t="shared" si="4" ref="Q4:Q33">(+M4+L4)/N4</f>
        <v>0.25898655122245484</v>
      </c>
      <c r="R4" s="12">
        <v>40756</v>
      </c>
      <c r="S4" s="47">
        <v>40806</v>
      </c>
      <c r="T4" s="50">
        <v>41765</v>
      </c>
      <c r="U4" s="50">
        <v>41056</v>
      </c>
      <c r="V4" s="46">
        <v>2998521</v>
      </c>
      <c r="W4" s="44">
        <v>211661</v>
      </c>
      <c r="X4">
        <v>81</v>
      </c>
      <c r="Y4" s="46">
        <v>2189</v>
      </c>
      <c r="Z4">
        <f>+Y4*T4/S4</f>
        <v>2240.444665000245</v>
      </c>
      <c r="AB4">
        <v>2994906</v>
      </c>
      <c r="AC4" s="64"/>
    </row>
    <row r="5" spans="1:29" ht="15">
      <c r="A5" s="11" t="s">
        <v>8</v>
      </c>
      <c r="B5" s="12">
        <v>3181</v>
      </c>
      <c r="C5" s="17"/>
      <c r="D5" s="13">
        <v>130</v>
      </c>
      <c r="E5" s="14">
        <v>3311</v>
      </c>
      <c r="F5" s="15">
        <v>11.44546035916138</v>
      </c>
      <c r="G5" s="16">
        <v>9.249637316357575</v>
      </c>
      <c r="J5" s="110" t="s">
        <v>89</v>
      </c>
      <c r="K5" s="116">
        <f t="shared" si="0"/>
        <v>3390</v>
      </c>
      <c r="L5" s="108">
        <v>0</v>
      </c>
      <c r="M5" s="107">
        <v>186</v>
      </c>
      <c r="N5" s="106">
        <f t="shared" si="1"/>
        <v>3576</v>
      </c>
      <c r="O5" s="105">
        <f t="shared" si="2"/>
        <v>12.468184512394965</v>
      </c>
      <c r="P5" s="104">
        <f t="shared" si="3"/>
        <v>9.18075480517746</v>
      </c>
      <c r="Q5" s="58">
        <f t="shared" si="4"/>
        <v>0.05201342281879195</v>
      </c>
      <c r="R5" s="12">
        <v>3181</v>
      </c>
      <c r="S5" s="49">
        <v>3420</v>
      </c>
      <c r="T5" s="50">
        <v>3390</v>
      </c>
      <c r="U5" s="50">
        <v>3347</v>
      </c>
      <c r="V5" s="46">
        <v>289985</v>
      </c>
      <c r="W5" s="44">
        <v>23645</v>
      </c>
      <c r="X5">
        <v>0</v>
      </c>
      <c r="Y5" s="46">
        <v>219</v>
      </c>
      <c r="AB5">
        <v>286810</v>
      </c>
      <c r="AC5" s="64"/>
    </row>
    <row r="6" spans="1:29" ht="15">
      <c r="A6" s="11" t="s">
        <v>9</v>
      </c>
      <c r="B6" s="12">
        <v>4897</v>
      </c>
      <c r="C6" s="17"/>
      <c r="D6" s="13">
        <v>441</v>
      </c>
      <c r="E6" s="14">
        <v>5338</v>
      </c>
      <c r="F6" s="15">
        <v>12.361431777077394</v>
      </c>
      <c r="G6" s="16">
        <v>12.13939128981697</v>
      </c>
      <c r="J6" s="110" t="s">
        <v>9</v>
      </c>
      <c r="K6" s="116">
        <f t="shared" si="0"/>
        <v>5003</v>
      </c>
      <c r="L6" s="108">
        <v>0</v>
      </c>
      <c r="M6" s="107">
        <v>478</v>
      </c>
      <c r="N6" s="106">
        <f t="shared" si="1"/>
        <v>5481</v>
      </c>
      <c r="O6" s="105">
        <f t="shared" si="2"/>
        <v>12.819823128074267</v>
      </c>
      <c r="P6" s="104">
        <f t="shared" si="3"/>
        <v>10.603891874340663</v>
      </c>
      <c r="Q6" s="58">
        <f t="shared" si="4"/>
        <v>0.08721036307243203</v>
      </c>
      <c r="R6" s="12">
        <v>4897</v>
      </c>
      <c r="S6" s="49">
        <v>5573</v>
      </c>
      <c r="T6" s="50">
        <v>5003</v>
      </c>
      <c r="U6" s="50">
        <v>5164</v>
      </c>
      <c r="V6" s="46">
        <v>430644</v>
      </c>
      <c r="W6" s="44">
        <v>34674</v>
      </c>
      <c r="X6">
        <v>5</v>
      </c>
      <c r="Y6" s="46">
        <v>404</v>
      </c>
      <c r="AB6">
        <v>427541</v>
      </c>
      <c r="AC6" s="64"/>
    </row>
    <row r="7" spans="1:29" ht="15">
      <c r="A7" s="11" t="s">
        <v>10</v>
      </c>
      <c r="B7" s="12">
        <v>4393</v>
      </c>
      <c r="C7" s="13">
        <v>6</v>
      </c>
      <c r="D7" s="13">
        <v>817</v>
      </c>
      <c r="E7" s="14">
        <v>5216</v>
      </c>
      <c r="F7" s="15">
        <v>12.576857232416272</v>
      </c>
      <c r="G7" s="16">
        <v>9.78770893514278</v>
      </c>
      <c r="J7" s="110" t="s">
        <v>90</v>
      </c>
      <c r="K7" s="116">
        <f t="shared" si="0"/>
        <v>4495</v>
      </c>
      <c r="L7" s="107">
        <v>16</v>
      </c>
      <c r="M7" s="107">
        <v>890</v>
      </c>
      <c r="N7" s="106">
        <f t="shared" si="1"/>
        <v>5401</v>
      </c>
      <c r="O7" s="105">
        <f t="shared" si="2"/>
        <v>13.182141017912189</v>
      </c>
      <c r="P7" s="104">
        <f t="shared" si="3"/>
        <v>8.54340887228575</v>
      </c>
      <c r="Q7" s="58">
        <f t="shared" si="4"/>
        <v>0.16774671357156082</v>
      </c>
      <c r="R7" s="12">
        <v>4393</v>
      </c>
      <c r="S7" s="47">
        <v>4691</v>
      </c>
      <c r="T7" s="50">
        <v>4495</v>
      </c>
      <c r="U7" s="50">
        <v>4500</v>
      </c>
      <c r="V7" s="46">
        <v>412966</v>
      </c>
      <c r="W7" s="44">
        <v>34033</v>
      </c>
      <c r="X7">
        <v>10</v>
      </c>
      <c r="Y7" s="46">
        <v>293</v>
      </c>
      <c r="AB7">
        <v>409721</v>
      </c>
      <c r="AC7" s="64"/>
    </row>
    <row r="8" spans="1:29" ht="15">
      <c r="A8" s="11" t="s">
        <v>11</v>
      </c>
      <c r="B8" s="12">
        <v>5992</v>
      </c>
      <c r="C8" s="13">
        <v>87</v>
      </c>
      <c r="D8" s="13">
        <v>518</v>
      </c>
      <c r="E8" s="14">
        <v>6597</v>
      </c>
      <c r="F8" s="15">
        <v>12.196001220154738</v>
      </c>
      <c r="G8" s="16">
        <v>8.300099962739788</v>
      </c>
      <c r="J8" s="110" t="s">
        <v>11</v>
      </c>
      <c r="K8" s="116">
        <f t="shared" si="0"/>
        <v>6151</v>
      </c>
      <c r="L8" s="107">
        <v>128</v>
      </c>
      <c r="M8" s="107">
        <v>621</v>
      </c>
      <c r="N8" s="106">
        <f t="shared" si="1"/>
        <v>6900</v>
      </c>
      <c r="O8" s="105">
        <f t="shared" si="2"/>
        <v>12.83826024828079</v>
      </c>
      <c r="P8" s="104">
        <f t="shared" si="3"/>
        <v>9.219110063812401</v>
      </c>
      <c r="Q8" s="58">
        <f t="shared" si="4"/>
        <v>0.10855072463768116</v>
      </c>
      <c r="R8" s="12">
        <v>5992</v>
      </c>
      <c r="S8" s="47">
        <v>6311</v>
      </c>
      <c r="T8" s="50">
        <v>6151</v>
      </c>
      <c r="U8" s="50">
        <v>6198</v>
      </c>
      <c r="V8" s="46">
        <v>541389</v>
      </c>
      <c r="W8" s="44">
        <v>43679</v>
      </c>
      <c r="X8">
        <v>6</v>
      </c>
      <c r="Y8" s="46">
        <v>407</v>
      </c>
      <c r="Z8" t="s">
        <v>47</v>
      </c>
      <c r="AB8">
        <v>537456</v>
      </c>
      <c r="AC8" s="64"/>
    </row>
    <row r="9" spans="1:29" ht="15">
      <c r="A9" s="11" t="s">
        <v>12</v>
      </c>
      <c r="B9" s="12">
        <v>3542</v>
      </c>
      <c r="C9" s="17"/>
      <c r="D9" s="13">
        <v>161</v>
      </c>
      <c r="E9" s="14">
        <v>3703</v>
      </c>
      <c r="F9" s="15">
        <v>12.049917834073641</v>
      </c>
      <c r="G9" s="16">
        <v>9.143541954519117</v>
      </c>
      <c r="J9" s="110" t="s">
        <v>91</v>
      </c>
      <c r="K9" s="116">
        <f t="shared" si="0"/>
        <v>3493</v>
      </c>
      <c r="L9" s="108">
        <v>7</v>
      </c>
      <c r="M9" s="107">
        <v>258</v>
      </c>
      <c r="N9" s="106">
        <f t="shared" si="1"/>
        <v>3758</v>
      </c>
      <c r="O9" s="105">
        <f t="shared" si="2"/>
        <v>12.37788449503633</v>
      </c>
      <c r="P9" s="104">
        <f t="shared" si="3"/>
        <v>9.85534302304579</v>
      </c>
      <c r="Q9" s="58">
        <f t="shared" si="4"/>
        <v>0.07051623203831825</v>
      </c>
      <c r="R9" s="12">
        <v>3542</v>
      </c>
      <c r="S9" s="47">
        <v>3112</v>
      </c>
      <c r="T9" s="50">
        <v>3493</v>
      </c>
      <c r="U9" s="50">
        <v>3322</v>
      </c>
      <c r="V9" s="46">
        <v>306993</v>
      </c>
      <c r="W9" s="44">
        <v>26259</v>
      </c>
      <c r="X9">
        <v>4</v>
      </c>
      <c r="Y9" s="46">
        <v>227</v>
      </c>
      <c r="AB9">
        <v>303606</v>
      </c>
      <c r="AC9" s="64"/>
    </row>
    <row r="10" spans="1:29" ht="15">
      <c r="A10" s="11" t="s">
        <v>13</v>
      </c>
      <c r="B10" s="12">
        <v>3826</v>
      </c>
      <c r="C10" s="17"/>
      <c r="D10" s="13">
        <v>220</v>
      </c>
      <c r="E10" s="14">
        <v>4046</v>
      </c>
      <c r="F10" s="15">
        <v>11.973070947695495</v>
      </c>
      <c r="G10" s="16">
        <v>10.074571016667196</v>
      </c>
      <c r="J10" s="110" t="s">
        <v>13</v>
      </c>
      <c r="K10" s="116">
        <f t="shared" si="0"/>
        <v>3792</v>
      </c>
      <c r="L10" s="108">
        <v>0</v>
      </c>
      <c r="M10" s="107">
        <v>242</v>
      </c>
      <c r="N10" s="106">
        <f t="shared" si="1"/>
        <v>4034</v>
      </c>
      <c r="O10" s="105">
        <f t="shared" si="2"/>
        <v>12.153421124778939</v>
      </c>
      <c r="P10" s="104">
        <f t="shared" si="3"/>
        <v>7.835306516909381</v>
      </c>
      <c r="Q10" s="58">
        <f t="shared" si="4"/>
        <v>0.05999008428358949</v>
      </c>
      <c r="R10" s="12">
        <v>3826</v>
      </c>
      <c r="S10" s="47">
        <v>3887</v>
      </c>
      <c r="T10" s="50">
        <v>3792</v>
      </c>
      <c r="U10" s="50">
        <v>4001</v>
      </c>
      <c r="V10" s="46">
        <v>335882</v>
      </c>
      <c r="W10" s="44">
        <v>26900</v>
      </c>
      <c r="X10">
        <v>2</v>
      </c>
      <c r="Y10" s="46">
        <v>214</v>
      </c>
      <c r="AB10">
        <v>331923</v>
      </c>
      <c r="AC10" s="64"/>
    </row>
    <row r="11" spans="1:29" ht="15">
      <c r="A11" s="11" t="s">
        <v>14</v>
      </c>
      <c r="B11" s="12">
        <v>11882</v>
      </c>
      <c r="C11" s="17"/>
      <c r="D11" s="13">
        <v>757</v>
      </c>
      <c r="E11" s="14">
        <v>12639</v>
      </c>
      <c r="F11" s="15">
        <v>13.497927092611222</v>
      </c>
      <c r="G11" s="16">
        <v>12.6853418371557</v>
      </c>
      <c r="J11" s="110" t="s">
        <v>115</v>
      </c>
      <c r="K11" s="116">
        <f t="shared" si="0"/>
        <v>12258</v>
      </c>
      <c r="L11" s="108">
        <v>0</v>
      </c>
      <c r="M11" s="107">
        <v>976</v>
      </c>
      <c r="N11" s="106">
        <f t="shared" si="1"/>
        <v>13234</v>
      </c>
      <c r="O11" s="105">
        <f t="shared" si="2"/>
        <v>14.270910053583309</v>
      </c>
      <c r="P11" s="104">
        <f t="shared" si="3"/>
        <v>11.60561178955536</v>
      </c>
      <c r="Q11" s="58">
        <f t="shared" si="4"/>
        <v>0.07374943327792051</v>
      </c>
      <c r="R11" s="12">
        <v>11882</v>
      </c>
      <c r="S11" s="47">
        <v>12147</v>
      </c>
      <c r="T11" s="50">
        <v>12258</v>
      </c>
      <c r="U11" s="50">
        <v>12271</v>
      </c>
      <c r="V11" s="46">
        <v>934101</v>
      </c>
      <c r="W11" s="44">
        <v>76595</v>
      </c>
      <c r="X11">
        <v>13</v>
      </c>
      <c r="Y11" s="46">
        <v>868</v>
      </c>
      <c r="AB11">
        <v>927341</v>
      </c>
      <c r="AC11" s="64"/>
    </row>
    <row r="12" spans="1:29" ht="15">
      <c r="A12" s="11" t="s">
        <v>15</v>
      </c>
      <c r="B12" s="12">
        <v>5996</v>
      </c>
      <c r="C12" s="13">
        <v>167</v>
      </c>
      <c r="D12" s="13">
        <v>121</v>
      </c>
      <c r="E12" s="14">
        <v>6284</v>
      </c>
      <c r="F12" s="15">
        <v>11.972191898003937</v>
      </c>
      <c r="G12" s="16">
        <v>9.530628283519869</v>
      </c>
      <c r="J12" s="110" t="s">
        <v>15</v>
      </c>
      <c r="K12" s="116">
        <f t="shared" si="0"/>
        <v>6237</v>
      </c>
      <c r="L12" s="107">
        <v>208</v>
      </c>
      <c r="M12" s="107">
        <v>299</v>
      </c>
      <c r="N12" s="106">
        <f t="shared" si="1"/>
        <v>6744</v>
      </c>
      <c r="O12" s="105">
        <f t="shared" si="2"/>
        <v>13.108279363401</v>
      </c>
      <c r="P12" s="104">
        <f t="shared" si="3"/>
        <v>8.587288388171249</v>
      </c>
      <c r="Q12" s="58">
        <f t="shared" si="4"/>
        <v>0.07517793594306049</v>
      </c>
      <c r="R12" s="12">
        <v>5996</v>
      </c>
      <c r="S12" s="47">
        <v>6275</v>
      </c>
      <c r="T12" s="50">
        <v>6237</v>
      </c>
      <c r="U12" s="50">
        <v>6309</v>
      </c>
      <c r="V12" s="46">
        <v>520282</v>
      </c>
      <c r="W12" s="44">
        <v>40744</v>
      </c>
      <c r="X12">
        <v>2</v>
      </c>
      <c r="Y12" s="46">
        <v>350</v>
      </c>
      <c r="AB12">
        <v>514484</v>
      </c>
      <c r="AC12" s="64"/>
    </row>
    <row r="13" spans="1:29" ht="15">
      <c r="A13" s="11" t="s">
        <v>16</v>
      </c>
      <c r="B13" s="12">
        <v>4620</v>
      </c>
      <c r="C13" s="18"/>
      <c r="D13" s="13">
        <v>170</v>
      </c>
      <c r="E13" s="14">
        <v>4790</v>
      </c>
      <c r="F13" s="15">
        <v>11.12677790347346</v>
      </c>
      <c r="G13" s="16">
        <v>8.913751716376929</v>
      </c>
      <c r="J13" s="110" t="s">
        <v>16</v>
      </c>
      <c r="K13" s="116">
        <f t="shared" si="0"/>
        <v>4821</v>
      </c>
      <c r="L13" s="117">
        <v>2</v>
      </c>
      <c r="M13" s="107">
        <v>169</v>
      </c>
      <c r="N13" s="106">
        <f t="shared" si="1"/>
        <v>4992</v>
      </c>
      <c r="O13" s="105">
        <f t="shared" si="2"/>
        <v>11.668076870935923</v>
      </c>
      <c r="P13" s="104">
        <f t="shared" si="3"/>
        <v>8.088522212528153</v>
      </c>
      <c r="Q13" s="58">
        <f t="shared" si="4"/>
        <v>0.034254807692307696</v>
      </c>
      <c r="R13" s="12">
        <v>4620</v>
      </c>
      <c r="S13" s="47">
        <v>4801</v>
      </c>
      <c r="T13" s="50">
        <v>4821</v>
      </c>
      <c r="U13" s="50">
        <v>4852</v>
      </c>
      <c r="V13" s="46">
        <v>430983</v>
      </c>
      <c r="W13" s="44">
        <v>32526</v>
      </c>
      <c r="X13">
        <v>1</v>
      </c>
      <c r="Y13" s="46">
        <v>261</v>
      </c>
      <c r="AB13">
        <v>427834</v>
      </c>
      <c r="AC13" s="64"/>
    </row>
    <row r="14" spans="1:29" ht="15">
      <c r="A14" s="11" t="s">
        <v>17</v>
      </c>
      <c r="B14" s="19">
        <v>2709</v>
      </c>
      <c r="C14" s="17"/>
      <c r="D14" s="13">
        <v>497</v>
      </c>
      <c r="E14" s="14">
        <v>3206</v>
      </c>
      <c r="F14" s="20">
        <v>12.554726231780766</v>
      </c>
      <c r="G14" s="16">
        <v>9.967621111439447</v>
      </c>
      <c r="J14" s="110" t="s">
        <v>92</v>
      </c>
      <c r="K14" s="116">
        <f t="shared" si="0"/>
        <v>2729</v>
      </c>
      <c r="L14" s="108">
        <v>0</v>
      </c>
      <c r="M14" s="107">
        <v>547</v>
      </c>
      <c r="N14" s="106">
        <f t="shared" si="1"/>
        <v>3276</v>
      </c>
      <c r="O14" s="105">
        <f t="shared" si="2"/>
        <v>12.996493009822746</v>
      </c>
      <c r="P14" s="104">
        <f t="shared" si="3"/>
        <v>8.251208206145494</v>
      </c>
      <c r="Q14" s="58">
        <f t="shared" si="4"/>
        <v>0.16697191697191696</v>
      </c>
      <c r="R14" s="19">
        <v>2709</v>
      </c>
      <c r="S14" s="47">
        <v>2597</v>
      </c>
      <c r="T14" s="50">
        <v>2729</v>
      </c>
      <c r="U14" s="50">
        <v>2597</v>
      </c>
      <c r="V14" s="46">
        <v>253790</v>
      </c>
      <c r="W14" s="44">
        <v>20995</v>
      </c>
      <c r="X14">
        <v>3</v>
      </c>
      <c r="Y14" s="46">
        <v>162</v>
      </c>
      <c r="AB14">
        <v>252068</v>
      </c>
      <c r="AC14" s="64"/>
    </row>
    <row r="15" spans="1:29" ht="15">
      <c r="A15" s="11" t="s">
        <v>18</v>
      </c>
      <c r="B15" s="12">
        <v>8369</v>
      </c>
      <c r="C15" s="17"/>
      <c r="D15" s="13">
        <v>45</v>
      </c>
      <c r="E15" s="14">
        <v>8414</v>
      </c>
      <c r="F15" s="15">
        <v>10.678396742924008</v>
      </c>
      <c r="G15" s="16">
        <v>7.810499648424497</v>
      </c>
      <c r="J15" s="110" t="s">
        <v>100</v>
      </c>
      <c r="K15" s="116">
        <f t="shared" si="0"/>
        <v>8570</v>
      </c>
      <c r="L15" s="108">
        <v>0</v>
      </c>
      <c r="M15" s="107">
        <v>124</v>
      </c>
      <c r="N15" s="106">
        <f t="shared" si="1"/>
        <v>8694</v>
      </c>
      <c r="O15" s="105">
        <f t="shared" si="2"/>
        <v>11.054514753339623</v>
      </c>
      <c r="P15" s="104">
        <f t="shared" si="3"/>
        <v>7.336752351765128</v>
      </c>
      <c r="Q15" s="58">
        <f t="shared" si="4"/>
        <v>0.014262709914883829</v>
      </c>
      <c r="R15" s="12">
        <v>8369</v>
      </c>
      <c r="S15" s="47">
        <v>8582</v>
      </c>
      <c r="T15" s="50">
        <v>8570</v>
      </c>
      <c r="U15" s="50">
        <v>8608</v>
      </c>
      <c r="V15" s="46">
        <v>787101</v>
      </c>
      <c r="W15" s="44">
        <v>65877</v>
      </c>
      <c r="X15">
        <v>0</v>
      </c>
      <c r="Y15" s="46">
        <v>484</v>
      </c>
      <c r="AB15">
        <v>786466</v>
      </c>
      <c r="AC15" s="64"/>
    </row>
    <row r="16" spans="1:29" ht="15">
      <c r="A16" s="11" t="s">
        <v>19</v>
      </c>
      <c r="B16" s="12">
        <v>7197</v>
      </c>
      <c r="C16" s="13">
        <v>18</v>
      </c>
      <c r="D16" s="13">
        <v>476</v>
      </c>
      <c r="E16" s="14">
        <v>7691</v>
      </c>
      <c r="F16" s="15">
        <v>11.257598622916554</v>
      </c>
      <c r="G16" s="16">
        <v>7.453932048620455</v>
      </c>
      <c r="J16" s="110" t="s">
        <v>19</v>
      </c>
      <c r="K16" s="116">
        <f t="shared" si="0"/>
        <v>7767</v>
      </c>
      <c r="L16" s="107">
        <v>18</v>
      </c>
      <c r="M16" s="107">
        <v>456</v>
      </c>
      <c r="N16" s="106">
        <f t="shared" si="1"/>
        <v>8241</v>
      </c>
      <c r="O16" s="105">
        <f t="shared" si="2"/>
        <v>12.142706640399954</v>
      </c>
      <c r="P16" s="104">
        <f t="shared" si="3"/>
        <v>7.443459737025513</v>
      </c>
      <c r="Q16" s="58">
        <f t="shared" si="4"/>
        <v>0.05751729159082636</v>
      </c>
      <c r="R16" s="12">
        <v>7197</v>
      </c>
      <c r="S16" s="47">
        <v>7848</v>
      </c>
      <c r="T16" s="50">
        <v>7767</v>
      </c>
      <c r="U16" s="50">
        <v>7849</v>
      </c>
      <c r="V16" s="46">
        <v>680517</v>
      </c>
      <c r="W16" s="44">
        <v>56379</v>
      </c>
      <c r="X16">
        <v>3</v>
      </c>
      <c r="Y16" s="46">
        <v>421</v>
      </c>
      <c r="AB16">
        <v>678679</v>
      </c>
      <c r="AC16" s="64"/>
    </row>
    <row r="17" spans="1:29" ht="15">
      <c r="A17" s="11" t="s">
        <v>20</v>
      </c>
      <c r="B17" s="12">
        <v>3905</v>
      </c>
      <c r="C17" s="17"/>
      <c r="D17" s="13">
        <v>350</v>
      </c>
      <c r="E17" s="14">
        <v>4255</v>
      </c>
      <c r="F17" s="15">
        <v>11.607194005177545</v>
      </c>
      <c r="G17" s="16">
        <v>8.935995656754432</v>
      </c>
      <c r="J17" s="110" t="s">
        <v>93</v>
      </c>
      <c r="K17" s="116">
        <f t="shared" si="0"/>
        <v>4198</v>
      </c>
      <c r="L17" s="108">
        <v>0</v>
      </c>
      <c r="M17" s="107">
        <v>393</v>
      </c>
      <c r="N17" s="106">
        <f t="shared" si="1"/>
        <v>4591</v>
      </c>
      <c r="O17" s="105">
        <f t="shared" si="2"/>
        <v>12.690278157850365</v>
      </c>
      <c r="P17" s="104">
        <f t="shared" si="3"/>
        <v>8.907636821162725</v>
      </c>
      <c r="Q17" s="58">
        <f t="shared" si="4"/>
        <v>0.0856022653016772</v>
      </c>
      <c r="R17" s="12">
        <v>3905</v>
      </c>
      <c r="S17" s="47">
        <v>4182</v>
      </c>
      <c r="T17" s="50">
        <v>4198</v>
      </c>
      <c r="U17" s="50">
        <v>4142</v>
      </c>
      <c r="V17" s="46">
        <v>364158</v>
      </c>
      <c r="W17" s="44">
        <v>29070</v>
      </c>
      <c r="X17">
        <v>11</v>
      </c>
      <c r="Y17" s="46">
        <v>247</v>
      </c>
      <c r="AB17">
        <v>361773</v>
      </c>
      <c r="AC17" s="64"/>
    </row>
    <row r="18" spans="1:29" ht="15">
      <c r="A18" s="11" t="s">
        <v>21</v>
      </c>
      <c r="B18" s="12">
        <v>8164</v>
      </c>
      <c r="C18" s="13">
        <v>372</v>
      </c>
      <c r="D18" s="13">
        <v>1761</v>
      </c>
      <c r="E18" s="14">
        <v>10297</v>
      </c>
      <c r="F18" s="15">
        <v>14.497058914628274</v>
      </c>
      <c r="G18" s="16">
        <v>9.508517245766427</v>
      </c>
      <c r="J18" s="110" t="s">
        <v>21</v>
      </c>
      <c r="K18" s="116">
        <f t="shared" si="0"/>
        <v>8451</v>
      </c>
      <c r="L18" s="107">
        <v>375</v>
      </c>
      <c r="M18" s="107">
        <v>1923</v>
      </c>
      <c r="N18" s="106">
        <f t="shared" si="1"/>
        <v>10749</v>
      </c>
      <c r="O18" s="105">
        <f t="shared" si="2"/>
        <v>15.136579856759429</v>
      </c>
      <c r="P18" s="104">
        <f t="shared" si="3"/>
        <v>10.207630725852376</v>
      </c>
      <c r="Q18" s="58">
        <f t="shared" si="4"/>
        <v>0.21378732905386547</v>
      </c>
      <c r="R18" s="12">
        <v>8164</v>
      </c>
      <c r="S18" s="47">
        <v>8467</v>
      </c>
      <c r="T18" s="50">
        <v>8451</v>
      </c>
      <c r="U18" s="50">
        <v>8449</v>
      </c>
      <c r="V18" s="46">
        <v>709684</v>
      </c>
      <c r="W18" s="44">
        <v>55153</v>
      </c>
      <c r="X18">
        <f>6+19</f>
        <v>25</v>
      </c>
      <c r="Y18" s="46">
        <v>539</v>
      </c>
      <c r="AB18">
        <v>710134</v>
      </c>
      <c r="AC18" s="64"/>
    </row>
    <row r="19" spans="1:29" ht="15">
      <c r="A19" s="11" t="s">
        <v>22</v>
      </c>
      <c r="B19" s="12">
        <v>8131</v>
      </c>
      <c r="C19" s="13">
        <v>63</v>
      </c>
      <c r="D19" s="13">
        <v>907</v>
      </c>
      <c r="E19" s="14">
        <v>9101</v>
      </c>
      <c r="F19" s="15">
        <v>14.327500110199429</v>
      </c>
      <c r="G19" s="16">
        <v>8.757699404030701</v>
      </c>
      <c r="J19" s="110" t="s">
        <v>94</v>
      </c>
      <c r="K19" s="116">
        <f t="shared" si="0"/>
        <v>8392</v>
      </c>
      <c r="L19" s="107">
        <v>67</v>
      </c>
      <c r="M19" s="107">
        <v>1088</v>
      </c>
      <c r="N19" s="106">
        <f t="shared" si="1"/>
        <v>9547</v>
      </c>
      <c r="O19" s="105">
        <f t="shared" si="2"/>
        <v>15.027664313429195</v>
      </c>
      <c r="P19" s="104">
        <f t="shared" si="3"/>
        <v>9.23459221173368</v>
      </c>
      <c r="Q19" s="58">
        <f t="shared" si="4"/>
        <v>0.12098041269508746</v>
      </c>
      <c r="R19" s="12">
        <v>8131</v>
      </c>
      <c r="S19" s="47">
        <v>8145</v>
      </c>
      <c r="T19" s="50">
        <v>8392</v>
      </c>
      <c r="U19" s="50">
        <v>8034</v>
      </c>
      <c r="V19" s="46">
        <v>636057</v>
      </c>
      <c r="W19" s="44">
        <v>48954</v>
      </c>
      <c r="X19">
        <v>8</v>
      </c>
      <c r="Y19" s="46">
        <v>431</v>
      </c>
      <c r="AB19">
        <v>635295</v>
      </c>
      <c r="AC19" s="64"/>
    </row>
    <row r="20" spans="1:29" ht="15">
      <c r="A20" s="11" t="s">
        <v>23</v>
      </c>
      <c r="B20" s="12">
        <v>1883</v>
      </c>
      <c r="C20" s="17"/>
      <c r="D20" s="13">
        <v>3</v>
      </c>
      <c r="E20" s="14">
        <v>1886</v>
      </c>
      <c r="F20" s="15">
        <v>12.807975443457474</v>
      </c>
      <c r="G20" s="16">
        <v>10.686246980286189</v>
      </c>
      <c r="J20" s="110" t="s">
        <v>23</v>
      </c>
      <c r="K20" s="116">
        <f t="shared" si="0"/>
        <v>1997</v>
      </c>
      <c r="L20" s="108">
        <v>0</v>
      </c>
      <c r="M20" s="107">
        <v>0</v>
      </c>
      <c r="N20" s="106">
        <f t="shared" si="1"/>
        <v>1997</v>
      </c>
      <c r="O20" s="105">
        <f t="shared" si="2"/>
        <v>13.835101113320356</v>
      </c>
      <c r="P20" s="104">
        <f t="shared" si="3"/>
        <v>10.090386323311353</v>
      </c>
      <c r="Q20" s="58">
        <f t="shared" si="4"/>
        <v>0</v>
      </c>
      <c r="R20" s="12">
        <v>1883</v>
      </c>
      <c r="S20" s="47">
        <v>1860</v>
      </c>
      <c r="T20" s="50">
        <v>1997</v>
      </c>
      <c r="U20" s="50">
        <v>2014</v>
      </c>
      <c r="V20" s="46">
        <v>145981</v>
      </c>
      <c r="W20" s="44">
        <v>11066</v>
      </c>
      <c r="X20">
        <v>0</v>
      </c>
      <c r="Y20" s="46">
        <v>104</v>
      </c>
      <c r="AB20">
        <v>144343</v>
      </c>
      <c r="AC20" s="64"/>
    </row>
    <row r="21" spans="1:29" ht="15">
      <c r="A21" s="11" t="s">
        <v>24</v>
      </c>
      <c r="B21" s="12">
        <v>16591</v>
      </c>
      <c r="C21" s="13">
        <v>185</v>
      </c>
      <c r="D21" s="13">
        <v>2381</v>
      </c>
      <c r="E21" s="14">
        <v>19157</v>
      </c>
      <c r="F21" s="15">
        <v>13.206742008359605</v>
      </c>
      <c r="G21" s="16">
        <v>8.161964008559096</v>
      </c>
      <c r="J21" s="110" t="s">
        <v>95</v>
      </c>
      <c r="K21" s="116">
        <f t="shared" si="0"/>
        <v>16531</v>
      </c>
      <c r="L21" s="107">
        <v>270</v>
      </c>
      <c r="M21" s="107">
        <v>2671</v>
      </c>
      <c r="N21" s="106">
        <f t="shared" si="1"/>
        <v>19472</v>
      </c>
      <c r="O21" s="105">
        <f t="shared" si="2"/>
        <v>13.389959180978996</v>
      </c>
      <c r="P21" s="104">
        <f t="shared" si="3"/>
        <v>7.825353516741016</v>
      </c>
      <c r="Q21" s="58">
        <f t="shared" si="4"/>
        <v>0.15103738701725555</v>
      </c>
      <c r="R21" s="12">
        <v>16591</v>
      </c>
      <c r="S21" s="47">
        <v>17251</v>
      </c>
      <c r="T21" s="50">
        <v>16531</v>
      </c>
      <c r="U21" s="50">
        <v>17219</v>
      </c>
      <c r="V21" s="46">
        <v>1450902</v>
      </c>
      <c r="W21" s="44">
        <v>114369</v>
      </c>
      <c r="X21">
        <f>3+19</f>
        <v>22</v>
      </c>
      <c r="Y21" s="46">
        <v>911</v>
      </c>
      <c r="AB21">
        <v>1454224</v>
      </c>
      <c r="AC21" s="64"/>
    </row>
    <row r="22" spans="1:29" ht="15">
      <c r="A22" s="11" t="s">
        <v>25</v>
      </c>
      <c r="B22" s="12">
        <v>2967</v>
      </c>
      <c r="C22" s="13">
        <v>3</v>
      </c>
      <c r="D22" s="13">
        <v>233</v>
      </c>
      <c r="E22" s="14">
        <v>3203</v>
      </c>
      <c r="F22" s="15">
        <v>11.532451447047217</v>
      </c>
      <c r="G22" s="16">
        <v>8.731908888174958</v>
      </c>
      <c r="J22" s="110" t="s">
        <v>25</v>
      </c>
      <c r="K22" s="116">
        <f t="shared" si="0"/>
        <v>3250</v>
      </c>
      <c r="L22" s="107">
        <v>5</v>
      </c>
      <c r="M22" s="107">
        <v>234</v>
      </c>
      <c r="N22" s="106">
        <f t="shared" si="1"/>
        <v>3489</v>
      </c>
      <c r="O22" s="105">
        <f t="shared" si="2"/>
        <v>12.649554056993692</v>
      </c>
      <c r="P22" s="104">
        <f t="shared" si="3"/>
        <v>8.533750064177072</v>
      </c>
      <c r="Q22" s="58">
        <f t="shared" si="4"/>
        <v>0.06850100315276583</v>
      </c>
      <c r="R22" s="12">
        <v>2967</v>
      </c>
      <c r="S22" s="47">
        <v>3299</v>
      </c>
      <c r="T22" s="50">
        <v>3250</v>
      </c>
      <c r="U22" s="50">
        <v>3259</v>
      </c>
      <c r="V22" s="46">
        <v>277765</v>
      </c>
      <c r="W22" s="44">
        <v>21591</v>
      </c>
      <c r="X22">
        <v>2</v>
      </c>
      <c r="Y22" s="46">
        <v>185</v>
      </c>
      <c r="AB22">
        <v>275820</v>
      </c>
      <c r="AC22" s="64"/>
    </row>
    <row r="23" spans="1:29" ht="15">
      <c r="A23" s="11" t="s">
        <v>26</v>
      </c>
      <c r="B23" s="21">
        <v>9541</v>
      </c>
      <c r="C23" s="13">
        <v>5</v>
      </c>
      <c r="D23" s="13">
        <v>934</v>
      </c>
      <c r="E23" s="14">
        <v>10480</v>
      </c>
      <c r="F23" s="15">
        <v>18.047370904469478</v>
      </c>
      <c r="G23" s="16">
        <v>12.452788461306445</v>
      </c>
      <c r="J23" s="110" t="s">
        <v>96</v>
      </c>
      <c r="K23" s="116">
        <f t="shared" si="0"/>
        <v>9805</v>
      </c>
      <c r="L23" s="107">
        <v>44</v>
      </c>
      <c r="M23" s="107">
        <v>1098</v>
      </c>
      <c r="N23" s="106">
        <f t="shared" si="1"/>
        <v>10947</v>
      </c>
      <c r="O23" s="105">
        <f t="shared" si="2"/>
        <v>18.685479025562596</v>
      </c>
      <c r="P23" s="104">
        <f t="shared" si="3"/>
        <v>11.415527577763742</v>
      </c>
      <c r="Q23" s="58">
        <f t="shared" si="4"/>
        <v>0.10432081848908377</v>
      </c>
      <c r="R23" s="21">
        <v>9541</v>
      </c>
      <c r="S23" s="47">
        <v>9809</v>
      </c>
      <c r="T23" s="50">
        <v>9805</v>
      </c>
      <c r="U23" s="50">
        <v>9802</v>
      </c>
      <c r="V23" s="46">
        <v>584094</v>
      </c>
      <c r="W23" s="44">
        <v>46672</v>
      </c>
      <c r="X23">
        <v>7</v>
      </c>
      <c r="Y23" s="46">
        <v>526</v>
      </c>
      <c r="AB23">
        <v>585856</v>
      </c>
      <c r="AC23" s="64"/>
    </row>
    <row r="24" spans="1:29" ht="15">
      <c r="A24" s="11" t="s">
        <v>27</v>
      </c>
      <c r="B24" s="12">
        <v>17273</v>
      </c>
      <c r="C24" s="13">
        <v>330</v>
      </c>
      <c r="D24" s="13">
        <v>4597</v>
      </c>
      <c r="E24" s="14">
        <v>22200</v>
      </c>
      <c r="F24" s="15">
        <v>20.697216504072316</v>
      </c>
      <c r="G24" s="16">
        <v>13.375055056990757</v>
      </c>
      <c r="J24" s="110" t="s">
        <v>116</v>
      </c>
      <c r="K24" s="116">
        <f t="shared" si="0"/>
        <v>18065</v>
      </c>
      <c r="L24" s="107">
        <v>371</v>
      </c>
      <c r="M24" s="107">
        <v>5495</v>
      </c>
      <c r="N24" s="106">
        <f t="shared" si="1"/>
        <v>23931</v>
      </c>
      <c r="O24" s="105">
        <f t="shared" si="2"/>
        <v>22.32952636882768</v>
      </c>
      <c r="P24" s="104">
        <f t="shared" si="3"/>
        <v>13.098514707029553</v>
      </c>
      <c r="Q24" s="58">
        <f t="shared" si="4"/>
        <v>0.24512139066482805</v>
      </c>
      <c r="R24" s="12">
        <v>17273</v>
      </c>
      <c r="S24" s="47">
        <v>17585</v>
      </c>
      <c r="T24" s="50">
        <v>18065</v>
      </c>
      <c r="U24" s="50">
        <v>17909</v>
      </c>
      <c r="V24" s="46">
        <v>1077956</v>
      </c>
      <c r="W24" s="44">
        <v>85067</v>
      </c>
      <c r="X24">
        <f>5+46</f>
        <v>51</v>
      </c>
      <c r="Y24" s="46">
        <v>1035</v>
      </c>
      <c r="AB24">
        <v>1071720</v>
      </c>
      <c r="AC24" s="64"/>
    </row>
    <row r="25" spans="1:29" ht="15">
      <c r="A25" s="11" t="s">
        <v>28</v>
      </c>
      <c r="B25" s="12">
        <v>1133</v>
      </c>
      <c r="C25" s="22">
        <v>15</v>
      </c>
      <c r="D25" s="13">
        <v>149</v>
      </c>
      <c r="E25" s="14">
        <v>1297</v>
      </c>
      <c r="F25" s="15">
        <v>18.757683129655074</v>
      </c>
      <c r="G25" s="16">
        <v>11.860303187044922</v>
      </c>
      <c r="J25" s="103" t="s">
        <v>28</v>
      </c>
      <c r="K25" s="115">
        <f t="shared" si="0"/>
        <v>1080</v>
      </c>
      <c r="L25" s="100">
        <v>9</v>
      </c>
      <c r="M25" s="100">
        <v>192</v>
      </c>
      <c r="N25" s="99">
        <f t="shared" si="1"/>
        <v>1281</v>
      </c>
      <c r="O25" s="98">
        <f t="shared" si="2"/>
        <v>18.42343702808819</v>
      </c>
      <c r="P25" s="97">
        <f t="shared" si="3"/>
        <v>8.425722811426668</v>
      </c>
      <c r="Q25" s="58">
        <f t="shared" si="4"/>
        <v>0.15690866510538642</v>
      </c>
      <c r="R25" s="12">
        <v>1133</v>
      </c>
      <c r="S25" s="47">
        <v>1097</v>
      </c>
      <c r="T25" s="50">
        <v>1080</v>
      </c>
      <c r="U25" s="50">
        <v>1118</v>
      </c>
      <c r="V25" s="46">
        <v>69446</v>
      </c>
      <c r="W25" s="44">
        <v>4798</v>
      </c>
      <c r="X25">
        <v>4</v>
      </c>
      <c r="Y25" s="46">
        <v>37</v>
      </c>
      <c r="AB25">
        <v>69531</v>
      </c>
      <c r="AC25" s="64"/>
    </row>
    <row r="26" spans="1:29" ht="15">
      <c r="A26" s="23" t="s">
        <v>29</v>
      </c>
      <c r="B26" s="24">
        <v>176948</v>
      </c>
      <c r="C26" s="24">
        <v>2002</v>
      </c>
      <c r="D26" s="24">
        <v>28170</v>
      </c>
      <c r="E26" s="24">
        <v>207120</v>
      </c>
      <c r="F26" s="25">
        <v>14.526462365261837</v>
      </c>
      <c r="G26" s="26">
        <v>9.924358255836246</v>
      </c>
      <c r="J26" s="114" t="s">
        <v>29</v>
      </c>
      <c r="K26" s="113">
        <f>SUM(K4:K25)</f>
        <v>182240</v>
      </c>
      <c r="L26" s="113">
        <f>SUM(L4:L25)</f>
        <v>2686</v>
      </c>
      <c r="M26" s="113">
        <f>SUM(M4:M25)</f>
        <v>31771</v>
      </c>
      <c r="N26" s="113">
        <f t="shared" si="1"/>
        <v>216697</v>
      </c>
      <c r="O26" s="112">
        <f t="shared" si="2"/>
        <v>15.273763983317464</v>
      </c>
      <c r="P26" s="111">
        <f t="shared" si="3"/>
        <v>9.725909615178537</v>
      </c>
      <c r="Q26" s="58">
        <f t="shared" si="4"/>
        <v>0.15901004628582768</v>
      </c>
      <c r="R26" s="24">
        <v>176948</v>
      </c>
      <c r="S26" s="48">
        <f aca="true" t="shared" si="5" ref="S26:Y26">SUM(S4:S25)</f>
        <v>181745</v>
      </c>
      <c r="T26" s="51">
        <f t="shared" si="5"/>
        <v>182240</v>
      </c>
      <c r="U26" s="51">
        <f t="shared" si="5"/>
        <v>182020</v>
      </c>
      <c r="V26" s="45">
        <f t="shared" si="5"/>
        <v>14239197</v>
      </c>
      <c r="W26" s="45">
        <f t="shared" si="5"/>
        <v>1110707</v>
      </c>
      <c r="X26" s="45">
        <f t="shared" si="5"/>
        <v>260</v>
      </c>
      <c r="Y26" s="46">
        <f t="shared" si="5"/>
        <v>10514</v>
      </c>
      <c r="AB26">
        <f>SUM(AB4:AB25)</f>
        <v>14187531</v>
      </c>
      <c r="AC26" s="64"/>
    </row>
    <row r="27" spans="1:29" ht="15">
      <c r="A27" s="27" t="s">
        <v>30</v>
      </c>
      <c r="B27" s="28">
        <v>2674</v>
      </c>
      <c r="C27" s="29"/>
      <c r="D27" s="13">
        <v>1039</v>
      </c>
      <c r="E27" s="14">
        <v>3713</v>
      </c>
      <c r="F27" s="20">
        <v>37.51414484319431</v>
      </c>
      <c r="G27" s="16">
        <v>31.80374819810364</v>
      </c>
      <c r="J27" s="110" t="s">
        <v>114</v>
      </c>
      <c r="K27" s="109">
        <v>2544</v>
      </c>
      <c r="L27" s="108">
        <v>0</v>
      </c>
      <c r="M27" s="107">
        <v>1282</v>
      </c>
      <c r="N27" s="106">
        <f t="shared" si="1"/>
        <v>3826</v>
      </c>
      <c r="O27" s="105">
        <f t="shared" si="2"/>
        <v>39.60047611654505</v>
      </c>
      <c r="P27" s="104">
        <f t="shared" si="3"/>
        <v>24.351428703963997</v>
      </c>
      <c r="Q27" s="58">
        <f t="shared" si="4"/>
        <v>0.3350757971772086</v>
      </c>
      <c r="R27" s="28">
        <v>2674</v>
      </c>
      <c r="S27" s="49">
        <v>2382</v>
      </c>
      <c r="T27" s="50">
        <v>2646</v>
      </c>
      <c r="U27" s="50">
        <v>2402</v>
      </c>
      <c r="V27" s="46">
        <v>98412</v>
      </c>
      <c r="W27" s="44">
        <v>9014</v>
      </c>
      <c r="X27">
        <v>14</v>
      </c>
      <c r="Y27" s="46">
        <v>185</v>
      </c>
      <c r="AB27">
        <v>96615</v>
      </c>
      <c r="AC27" s="64"/>
    </row>
    <row r="28" spans="1:29" ht="15">
      <c r="A28" s="27" t="s">
        <v>31</v>
      </c>
      <c r="B28" s="30">
        <v>2388</v>
      </c>
      <c r="C28" s="17"/>
      <c r="D28" s="13">
        <v>11</v>
      </c>
      <c r="E28" s="14">
        <v>2399</v>
      </c>
      <c r="F28" s="20">
        <v>25.279774073215453</v>
      </c>
      <c r="G28" s="16">
        <v>24.359945050710216</v>
      </c>
      <c r="J28" s="110" t="s">
        <v>31</v>
      </c>
      <c r="K28" s="109">
        <f>+T28</f>
        <v>2205</v>
      </c>
      <c r="L28" s="108">
        <v>0</v>
      </c>
      <c r="M28" s="107">
        <v>108</v>
      </c>
      <c r="N28" s="106">
        <f t="shared" si="1"/>
        <v>2313</v>
      </c>
      <c r="O28" s="105">
        <f t="shared" si="2"/>
        <v>25.614617940199334</v>
      </c>
      <c r="P28" s="104">
        <f t="shared" si="3"/>
        <v>18.79306635485969</v>
      </c>
      <c r="Q28" s="58">
        <f t="shared" si="4"/>
        <v>0.04669260700389105</v>
      </c>
      <c r="R28" s="30">
        <v>2388</v>
      </c>
      <c r="S28" s="47">
        <v>2257</v>
      </c>
      <c r="T28" s="50">
        <v>2205</v>
      </c>
      <c r="U28" s="50">
        <v>2273</v>
      </c>
      <c r="V28" s="46">
        <v>93399</v>
      </c>
      <c r="W28" s="44">
        <v>7799</v>
      </c>
      <c r="X28">
        <v>1</v>
      </c>
      <c r="Y28" s="46">
        <v>149</v>
      </c>
      <c r="AB28">
        <v>90300</v>
      </c>
      <c r="AC28" s="64"/>
    </row>
    <row r="29" spans="1:29" ht="15">
      <c r="A29" s="27" t="s">
        <v>32</v>
      </c>
      <c r="B29" s="30">
        <v>1133</v>
      </c>
      <c r="C29" s="17"/>
      <c r="D29" s="13">
        <v>511</v>
      </c>
      <c r="E29" s="14">
        <v>1644</v>
      </c>
      <c r="F29" s="20">
        <v>26.736054643031387</v>
      </c>
      <c r="G29" s="16">
        <v>26.960993266623692</v>
      </c>
      <c r="J29" s="110" t="s">
        <v>32</v>
      </c>
      <c r="K29" s="109">
        <f>+T29</f>
        <v>1135</v>
      </c>
      <c r="L29" s="108">
        <v>0</v>
      </c>
      <c r="M29" s="107">
        <v>495</v>
      </c>
      <c r="N29" s="106">
        <f t="shared" si="1"/>
        <v>1630</v>
      </c>
      <c r="O29" s="105">
        <f t="shared" si="2"/>
        <v>26.21463838273372</v>
      </c>
      <c r="P29" s="104">
        <f t="shared" si="3"/>
        <v>28.748611750683967</v>
      </c>
      <c r="Q29" s="58">
        <f t="shared" si="4"/>
        <v>0.30368098159509205</v>
      </c>
      <c r="R29" s="30">
        <v>1133</v>
      </c>
      <c r="S29" s="47">
        <v>1102</v>
      </c>
      <c r="T29" s="50">
        <v>1135</v>
      </c>
      <c r="U29" s="50">
        <v>1112</v>
      </c>
      <c r="V29" s="46">
        <v>61308</v>
      </c>
      <c r="W29" s="44">
        <v>6432</v>
      </c>
      <c r="X29">
        <v>16</v>
      </c>
      <c r="Y29" s="46">
        <v>164</v>
      </c>
      <c r="AB29">
        <v>62179</v>
      </c>
      <c r="AC29" s="64"/>
    </row>
    <row r="30" spans="1:29" ht="15">
      <c r="A30" s="27" t="s">
        <v>33</v>
      </c>
      <c r="B30" s="30">
        <v>3196</v>
      </c>
      <c r="C30" s="17"/>
      <c r="D30" s="13">
        <v>1084</v>
      </c>
      <c r="E30" s="14">
        <v>4280</v>
      </c>
      <c r="F30" s="15">
        <v>19.426465381857135</v>
      </c>
      <c r="G30" s="16">
        <v>19.020866563109376</v>
      </c>
      <c r="J30" s="110" t="s">
        <v>97</v>
      </c>
      <c r="K30" s="109">
        <f>+T30</f>
        <v>3337</v>
      </c>
      <c r="L30" s="108">
        <v>0</v>
      </c>
      <c r="M30" s="107">
        <v>1218</v>
      </c>
      <c r="N30" s="106">
        <f t="shared" si="1"/>
        <v>4555</v>
      </c>
      <c r="O30" s="105">
        <f t="shared" si="2"/>
        <v>21.051999131113977</v>
      </c>
      <c r="P30" s="104">
        <f t="shared" si="3"/>
        <v>20.171394104889895</v>
      </c>
      <c r="Q30" s="58">
        <f t="shared" si="4"/>
        <v>0.2673984632272228</v>
      </c>
      <c r="R30" s="30">
        <v>3196</v>
      </c>
      <c r="S30" s="47">
        <v>3475</v>
      </c>
      <c r="T30" s="50">
        <v>3337</v>
      </c>
      <c r="U30" s="50">
        <v>3470</v>
      </c>
      <c r="V30" s="46">
        <v>217844</v>
      </c>
      <c r="W30" s="44">
        <v>19907</v>
      </c>
      <c r="X30">
        <v>28</v>
      </c>
      <c r="Y30" s="46">
        <v>389</v>
      </c>
      <c r="Z30" s="46"/>
      <c r="AA30" s="44"/>
      <c r="AB30" s="66">
        <v>216369</v>
      </c>
      <c r="AC30" s="64"/>
    </row>
    <row r="31" spans="1:29" ht="15">
      <c r="A31" s="27" t="s">
        <v>34</v>
      </c>
      <c r="B31" s="30">
        <v>1342</v>
      </c>
      <c r="C31" s="17"/>
      <c r="D31" s="13">
        <v>140</v>
      </c>
      <c r="E31" s="14">
        <v>1482</v>
      </c>
      <c r="F31" s="31" t="s">
        <v>35</v>
      </c>
      <c r="G31" s="16"/>
      <c r="J31" s="103" t="s">
        <v>34</v>
      </c>
      <c r="K31" s="102">
        <f>+T31</f>
        <v>1344</v>
      </c>
      <c r="L31" s="101">
        <v>0</v>
      </c>
      <c r="M31" s="100">
        <v>114</v>
      </c>
      <c r="N31" s="99">
        <f t="shared" si="1"/>
        <v>1458</v>
      </c>
      <c r="O31" s="98"/>
      <c r="P31" s="97"/>
      <c r="Q31" s="58">
        <f t="shared" si="4"/>
        <v>0.07818930041152264</v>
      </c>
      <c r="R31" s="30">
        <v>1342</v>
      </c>
      <c r="S31" s="47">
        <v>1344</v>
      </c>
      <c r="T31" s="50">
        <v>1344</v>
      </c>
      <c r="U31" s="50">
        <v>1344</v>
      </c>
      <c r="V31" s="44"/>
      <c r="W31" s="44"/>
      <c r="X31" s="44">
        <v>4</v>
      </c>
      <c r="Y31" s="52">
        <v>176</v>
      </c>
      <c r="Z31" s="44"/>
      <c r="AA31" s="44"/>
      <c r="AC31" s="64"/>
    </row>
    <row r="32" spans="1:29" ht="15">
      <c r="A32" s="32" t="s">
        <v>36</v>
      </c>
      <c r="B32" s="33">
        <v>9391</v>
      </c>
      <c r="C32" s="34">
        <v>0</v>
      </c>
      <c r="D32" s="34">
        <v>2785</v>
      </c>
      <c r="E32" s="35">
        <v>12176</v>
      </c>
      <c r="F32" s="25">
        <v>25.59693240442144</v>
      </c>
      <c r="G32" s="26">
        <v>23.820776531514554</v>
      </c>
      <c r="J32" s="91" t="s">
        <v>98</v>
      </c>
      <c r="K32" s="95">
        <f>SUM(K27:K30)</f>
        <v>9221</v>
      </c>
      <c r="L32" s="96">
        <v>0</v>
      </c>
      <c r="M32" s="95">
        <f>+M27+M28+M29+M30</f>
        <v>3103</v>
      </c>
      <c r="N32" s="94">
        <f t="shared" si="1"/>
        <v>12324</v>
      </c>
      <c r="O32" s="93">
        <f>1000*N32/AB32</f>
        <v>26.476862822608886</v>
      </c>
      <c r="P32" s="92">
        <f>1000*(X32+Y32*(T32/S32))/W32</f>
        <v>22.253853485128797</v>
      </c>
      <c r="Q32" s="58">
        <f t="shared" si="4"/>
        <v>0.2517851346965271</v>
      </c>
      <c r="R32" s="33">
        <v>9391</v>
      </c>
      <c r="S32" s="48">
        <f>SUM(S27:S30)</f>
        <v>9216</v>
      </c>
      <c r="T32" s="51">
        <f>SUM(T27:T30)</f>
        <v>9323</v>
      </c>
      <c r="U32" s="51">
        <f>SUM(U27:U30)</f>
        <v>9257</v>
      </c>
      <c r="V32" s="44">
        <f>SUM(V27:V31)</f>
        <v>470963</v>
      </c>
      <c r="W32" s="44">
        <f>SUM(W27:W31)</f>
        <v>43152</v>
      </c>
      <c r="X32" s="44">
        <f>SUM(X27:X31)</f>
        <v>63</v>
      </c>
      <c r="Y32" s="44">
        <f>SUM(Y27:Y30)</f>
        <v>887</v>
      </c>
      <c r="Z32" s="44"/>
      <c r="AA32" s="44"/>
      <c r="AB32">
        <f>SUM(AB27:AB31)</f>
        <v>465463</v>
      </c>
      <c r="AC32" s="64"/>
    </row>
    <row r="33" spans="1:29" ht="15.75" thickBot="1">
      <c r="A33" s="36" t="s">
        <v>37</v>
      </c>
      <c r="B33" s="33">
        <v>186339</v>
      </c>
      <c r="C33" s="33">
        <v>2002</v>
      </c>
      <c r="D33" s="33">
        <v>30955</v>
      </c>
      <c r="E33" s="53">
        <v>219296</v>
      </c>
      <c r="F33" s="25">
        <v>14.883873466714185</v>
      </c>
      <c r="G33" s="37">
        <v>10.469030296305498</v>
      </c>
      <c r="J33" s="91" t="s">
        <v>37</v>
      </c>
      <c r="K33" s="90">
        <f>+K26+K32</f>
        <v>191461</v>
      </c>
      <c r="L33" s="90">
        <f>+L26+L32</f>
        <v>2686</v>
      </c>
      <c r="M33" s="90">
        <f>+M26+M32</f>
        <v>34874</v>
      </c>
      <c r="N33" s="89">
        <f t="shared" si="1"/>
        <v>229021</v>
      </c>
      <c r="O33" s="88">
        <f>1000*N33/AB33</f>
        <v>15.629638557144022</v>
      </c>
      <c r="P33" s="87">
        <f>1000*(X33+Y33*(T33/S33))/W33</f>
        <v>10.191835727502902</v>
      </c>
      <c r="Q33" s="58">
        <f t="shared" si="4"/>
        <v>0.16400242772496845</v>
      </c>
      <c r="R33" s="33">
        <v>186339</v>
      </c>
      <c r="S33" s="48">
        <f aca="true" t="shared" si="6" ref="S33:X33">+S26+S32</f>
        <v>190961</v>
      </c>
      <c r="T33" s="51">
        <f t="shared" si="6"/>
        <v>191563</v>
      </c>
      <c r="U33" s="51">
        <f t="shared" si="6"/>
        <v>191277</v>
      </c>
      <c r="V33" s="44">
        <f t="shared" si="6"/>
        <v>14710160</v>
      </c>
      <c r="W33" s="44">
        <f t="shared" si="6"/>
        <v>1153859</v>
      </c>
      <c r="X33" s="44">
        <f t="shared" si="6"/>
        <v>323</v>
      </c>
      <c r="Y33" s="44">
        <f>+Y26+Y27+Y28+Y29+Y30</f>
        <v>11401</v>
      </c>
      <c r="Z33" s="44"/>
      <c r="AA33" s="44"/>
      <c r="AB33">
        <f>+AB26+AB32</f>
        <v>14652994</v>
      </c>
      <c r="AC33" s="64"/>
    </row>
    <row r="34" spans="1:29" ht="42" customHeight="1">
      <c r="A34" s="86"/>
      <c r="B34" s="82"/>
      <c r="C34" s="82"/>
      <c r="D34" s="82"/>
      <c r="E34" s="85"/>
      <c r="F34" s="84"/>
      <c r="G34" s="83"/>
      <c r="J34" s="166" t="s">
        <v>118</v>
      </c>
      <c r="K34" s="167"/>
      <c r="L34" s="167"/>
      <c r="M34" s="167"/>
      <c r="N34" s="167"/>
      <c r="O34" s="167"/>
      <c r="P34" s="167"/>
      <c r="Q34" s="58"/>
      <c r="R34" s="82"/>
      <c r="S34" s="48"/>
      <c r="T34" s="51"/>
      <c r="U34" s="51"/>
      <c r="V34" s="44"/>
      <c r="W34" s="44"/>
      <c r="X34" s="44"/>
      <c r="Y34" s="44"/>
      <c r="Z34" s="44"/>
      <c r="AA34" s="44"/>
      <c r="AC34" s="64"/>
    </row>
    <row r="35" spans="2:21" ht="15">
      <c r="B35" s="38"/>
      <c r="C35" s="38"/>
      <c r="D35" s="38"/>
      <c r="E35" s="38"/>
      <c r="F35" s="38"/>
      <c r="G35" s="38"/>
      <c r="J35" s="81"/>
      <c r="K35" s="79"/>
      <c r="L35" s="79"/>
      <c r="M35" s="80"/>
      <c r="N35" s="79"/>
      <c r="O35" s="79"/>
      <c r="P35" s="79"/>
      <c r="S35" s="44">
        <f>+S33+S31</f>
        <v>192305</v>
      </c>
      <c r="T35" s="47"/>
      <c r="U35" s="44">
        <f>+U33+U31</f>
        <v>192621</v>
      </c>
    </row>
    <row r="36" spans="2:21" ht="15">
      <c r="B36" s="38"/>
      <c r="C36" s="38"/>
      <c r="D36" s="38"/>
      <c r="E36" s="38"/>
      <c r="F36" s="38"/>
      <c r="G36" s="38"/>
      <c r="J36" s="38"/>
      <c r="K36" s="41"/>
      <c r="L36" s="69"/>
      <c r="M36" s="41"/>
      <c r="S36" s="44" t="s">
        <v>76</v>
      </c>
      <c r="T36" s="47"/>
      <c r="U36" s="44"/>
    </row>
    <row r="37" spans="1:20" ht="15">
      <c r="A37" s="2"/>
      <c r="B37" s="2"/>
      <c r="C37" s="2"/>
      <c r="D37" s="2"/>
      <c r="E37" s="2"/>
      <c r="F37" s="2"/>
      <c r="G37" s="2"/>
      <c r="J37" s="38"/>
      <c r="S37" t="s">
        <v>77</v>
      </c>
      <c r="T37" s="43"/>
    </row>
    <row r="38" spans="1:17" ht="15">
      <c r="A38" s="39" t="s">
        <v>38</v>
      </c>
      <c r="B38" s="2"/>
      <c r="C38" s="2"/>
      <c r="D38" s="2"/>
      <c r="E38" s="2"/>
      <c r="F38" s="2"/>
      <c r="G38" s="2"/>
      <c r="Q38" s="41"/>
    </row>
    <row r="39" spans="1:7" ht="15">
      <c r="A39" s="39" t="s">
        <v>39</v>
      </c>
      <c r="B39" s="2"/>
      <c r="C39" s="40"/>
      <c r="D39" s="40"/>
      <c r="E39" s="2"/>
      <c r="F39" s="2"/>
      <c r="G39" s="2"/>
    </row>
    <row r="40" ht="15">
      <c r="J40" s="62"/>
    </row>
    <row r="92" ht="15">
      <c r="J92" s="57"/>
    </row>
    <row r="93" ht="15">
      <c r="J93" s="57"/>
    </row>
    <row r="94" ht="15">
      <c r="J94" s="57"/>
    </row>
    <row r="95" ht="15">
      <c r="J95" s="57"/>
    </row>
    <row r="96" ht="15">
      <c r="J96" s="57"/>
    </row>
    <row r="97" ht="15">
      <c r="J97" s="57"/>
    </row>
    <row r="98" ht="15">
      <c r="J98" s="57"/>
    </row>
  </sheetData>
  <sheetProtection/>
  <mergeCells count="2">
    <mergeCell ref="J2:P2"/>
    <mergeCell ref="J34:P3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N24"/>
  <sheetViews>
    <sheetView showGridLines="0" zoomScalePageLayoutView="0" workbookViewId="0" topLeftCell="A1">
      <selection activeCell="Q11" sqref="Q11"/>
    </sheetView>
  </sheetViews>
  <sheetFormatPr defaultColWidth="11.421875" defaultRowHeight="15"/>
  <cols>
    <col min="1" max="1" width="3.7109375" style="59" customWidth="1"/>
    <col min="2" max="2" width="37.8515625" style="59" customWidth="1"/>
    <col min="3" max="3" width="21.00390625" style="59" bestFit="1" customWidth="1"/>
    <col min="4" max="13" width="7.7109375" style="59" customWidth="1"/>
    <col min="14" max="16384" width="11.421875" style="59" customWidth="1"/>
  </cols>
  <sheetData>
    <row r="1" ht="12">
      <c r="B1" s="77"/>
    </row>
    <row r="2" spans="2:13" ht="30" customHeight="1">
      <c r="B2" s="168" t="s">
        <v>123</v>
      </c>
      <c r="C2" s="169"/>
      <c r="D2" s="169"/>
      <c r="E2" s="169"/>
      <c r="F2" s="169"/>
      <c r="G2" s="169"/>
      <c r="H2" s="169"/>
      <c r="I2" s="169"/>
      <c r="J2" s="169"/>
      <c r="K2" s="169"/>
      <c r="L2" s="169"/>
      <c r="M2" s="169"/>
    </row>
    <row r="3" spans="2:13" ht="12.75">
      <c r="B3" s="172" t="s">
        <v>85</v>
      </c>
      <c r="C3" s="173"/>
      <c r="D3" s="127">
        <v>2001</v>
      </c>
      <c r="E3" s="127">
        <v>2005</v>
      </c>
      <c r="F3" s="127">
        <v>2006</v>
      </c>
      <c r="G3" s="127">
        <v>2007</v>
      </c>
      <c r="H3" s="127">
        <v>2008</v>
      </c>
      <c r="I3" s="127">
        <v>2009</v>
      </c>
      <c r="J3" s="127">
        <v>2010</v>
      </c>
      <c r="K3" s="127">
        <v>2011</v>
      </c>
      <c r="L3" s="127">
        <v>2012</v>
      </c>
      <c r="M3" s="127">
        <v>2013</v>
      </c>
    </row>
    <row r="4" spans="2:13" ht="12.75">
      <c r="B4" s="130" t="s">
        <v>101</v>
      </c>
      <c r="C4" s="130" t="s">
        <v>72</v>
      </c>
      <c r="D4" s="133">
        <v>90450</v>
      </c>
      <c r="E4" s="133">
        <v>77853</v>
      </c>
      <c r="F4" s="133">
        <v>79244</v>
      </c>
      <c r="G4" s="133">
        <v>79848</v>
      </c>
      <c r="H4" s="133">
        <v>77824</v>
      </c>
      <c r="I4" s="133">
        <v>75729</v>
      </c>
      <c r="J4" s="133">
        <v>74517</v>
      </c>
      <c r="K4" s="133">
        <v>71741</v>
      </c>
      <c r="L4" s="133">
        <v>69756</v>
      </c>
      <c r="M4" s="134">
        <f>147605-78696</f>
        <v>68909</v>
      </c>
    </row>
    <row r="5" spans="2:13" ht="12.75">
      <c r="B5" s="129"/>
      <c r="C5" s="129" t="s">
        <v>73</v>
      </c>
      <c r="D5" s="135">
        <v>44550</v>
      </c>
      <c r="E5" s="135">
        <v>66320</v>
      </c>
      <c r="F5" s="135">
        <v>67504</v>
      </c>
      <c r="G5" s="135">
        <v>68019</v>
      </c>
      <c r="H5" s="135">
        <v>68209</v>
      </c>
      <c r="I5" s="135">
        <v>68637</v>
      </c>
      <c r="J5" s="135">
        <v>71190</v>
      </c>
      <c r="K5" s="135">
        <v>71967</v>
      </c>
      <c r="L5" s="135">
        <v>72537</v>
      </c>
      <c r="M5" s="135">
        <v>78696</v>
      </c>
    </row>
    <row r="6" spans="2:13" ht="12.75">
      <c r="B6" s="130" t="s">
        <v>102</v>
      </c>
      <c r="C6" s="130" t="s">
        <v>72</v>
      </c>
      <c r="D6" s="133">
        <v>49713</v>
      </c>
      <c r="E6" s="133">
        <v>36562</v>
      </c>
      <c r="F6" s="133">
        <v>33675</v>
      </c>
      <c r="G6" s="133">
        <v>29289</v>
      </c>
      <c r="H6" s="133">
        <v>26158</v>
      </c>
      <c r="I6" s="133">
        <v>25292</v>
      </c>
      <c r="J6" s="133">
        <v>22876</v>
      </c>
      <c r="K6" s="133">
        <v>21525</v>
      </c>
      <c r="L6" s="133">
        <v>20093</v>
      </c>
      <c r="M6" s="134">
        <f>+M8-M4</f>
        <v>23096</v>
      </c>
    </row>
    <row r="7" spans="2:13" ht="12.75">
      <c r="B7" s="129"/>
      <c r="C7" s="129" t="s">
        <v>73</v>
      </c>
      <c r="D7" s="135">
        <v>17466</v>
      </c>
      <c r="E7" s="135">
        <v>20566</v>
      </c>
      <c r="F7" s="135">
        <v>20640</v>
      </c>
      <c r="G7" s="135">
        <v>17951</v>
      </c>
      <c r="H7" s="135">
        <v>16629</v>
      </c>
      <c r="I7" s="135">
        <v>16908</v>
      </c>
      <c r="J7" s="135">
        <v>16279</v>
      </c>
      <c r="K7" s="135">
        <v>15276</v>
      </c>
      <c r="L7" s="135">
        <v>14562</v>
      </c>
      <c r="M7" s="136">
        <f>+M9-M5</f>
        <v>11539</v>
      </c>
    </row>
    <row r="8" spans="2:13" ht="12.75">
      <c r="B8" s="130" t="s">
        <v>104</v>
      </c>
      <c r="C8" s="130" t="s">
        <v>72</v>
      </c>
      <c r="D8" s="133">
        <v>140163</v>
      </c>
      <c r="E8" s="133">
        <v>114416</v>
      </c>
      <c r="F8" s="133">
        <v>112920</v>
      </c>
      <c r="G8" s="133">
        <v>109138</v>
      </c>
      <c r="H8" s="133">
        <v>103982</v>
      </c>
      <c r="I8" s="133">
        <v>101021</v>
      </c>
      <c r="J8" s="133">
        <v>97393</v>
      </c>
      <c r="K8" s="133">
        <v>93266</v>
      </c>
      <c r="L8" s="133">
        <v>89849</v>
      </c>
      <c r="M8" s="133">
        <v>92005</v>
      </c>
    </row>
    <row r="9" spans="2:14" ht="12.75">
      <c r="B9" s="129"/>
      <c r="C9" s="129" t="s">
        <v>73</v>
      </c>
      <c r="D9" s="135">
        <v>62016</v>
      </c>
      <c r="E9" s="135">
        <v>86886</v>
      </c>
      <c r="F9" s="135">
        <v>88144</v>
      </c>
      <c r="G9" s="135">
        <v>85970</v>
      </c>
      <c r="H9" s="135">
        <v>84838</v>
      </c>
      <c r="I9" s="135">
        <v>85545</v>
      </c>
      <c r="J9" s="135">
        <v>87469</v>
      </c>
      <c r="K9" s="135">
        <v>87243</v>
      </c>
      <c r="L9" s="135">
        <v>87099</v>
      </c>
      <c r="M9" s="135">
        <v>90235</v>
      </c>
      <c r="N9" s="60"/>
    </row>
    <row r="10" spans="2:14" ht="12.75">
      <c r="B10" s="176" t="s">
        <v>74</v>
      </c>
      <c r="C10" s="177"/>
      <c r="D10" s="137"/>
      <c r="E10" s="138">
        <v>5008</v>
      </c>
      <c r="F10" s="138">
        <v>13945</v>
      </c>
      <c r="G10" s="138">
        <v>18034</v>
      </c>
      <c r="H10" s="138">
        <v>20172</v>
      </c>
      <c r="I10" s="138">
        <v>22416</v>
      </c>
      <c r="J10" s="138">
        <v>26613</v>
      </c>
      <c r="K10" s="139">
        <v>26827</v>
      </c>
      <c r="L10" s="139">
        <v>28170</v>
      </c>
      <c r="M10" s="140">
        <v>31771</v>
      </c>
      <c r="N10" s="61"/>
    </row>
    <row r="11" spans="2:14" ht="15" customHeight="1">
      <c r="B11" s="178" t="s">
        <v>75</v>
      </c>
      <c r="C11" s="179"/>
      <c r="D11" s="137"/>
      <c r="E11" s="141"/>
      <c r="F11" s="141"/>
      <c r="G11" s="141"/>
      <c r="H11" s="141"/>
      <c r="I11" s="141">
        <v>718</v>
      </c>
      <c r="J11" s="138">
        <v>1466</v>
      </c>
      <c r="K11" s="138">
        <v>1651</v>
      </c>
      <c r="L11" s="138">
        <v>2002</v>
      </c>
      <c r="M11" s="140">
        <v>2686</v>
      </c>
      <c r="N11" s="60"/>
    </row>
    <row r="12" spans="2:14" ht="12.75">
      <c r="B12" s="78"/>
      <c r="C12" s="78"/>
      <c r="D12" s="131"/>
      <c r="E12" s="131"/>
      <c r="F12" s="131"/>
      <c r="G12" s="131"/>
      <c r="H12" s="131"/>
      <c r="I12" s="131"/>
      <c r="J12" s="131"/>
      <c r="K12" s="131"/>
      <c r="L12" s="132"/>
      <c r="M12" s="132"/>
      <c r="N12" s="60"/>
    </row>
    <row r="13" spans="2:14" ht="12.75">
      <c r="B13" s="78"/>
      <c r="C13" s="78"/>
      <c r="D13" s="131"/>
      <c r="E13" s="131"/>
      <c r="F13" s="131"/>
      <c r="G13" s="131"/>
      <c r="H13" s="131"/>
      <c r="I13" s="131"/>
      <c r="J13" s="131"/>
      <c r="K13" s="131"/>
      <c r="L13" s="132"/>
      <c r="M13" s="132"/>
      <c r="N13" s="60"/>
    </row>
    <row r="14" spans="2:14" ht="15" customHeight="1">
      <c r="B14" s="174" t="s">
        <v>103</v>
      </c>
      <c r="C14" s="175"/>
      <c r="D14" s="127">
        <v>2001</v>
      </c>
      <c r="E14" s="127">
        <v>2005</v>
      </c>
      <c r="F14" s="127">
        <v>2006</v>
      </c>
      <c r="G14" s="127">
        <v>2007</v>
      </c>
      <c r="H14" s="127">
        <v>2008</v>
      </c>
      <c r="I14" s="127">
        <v>2009</v>
      </c>
      <c r="J14" s="127">
        <v>2010</v>
      </c>
      <c r="K14" s="127">
        <v>2011</v>
      </c>
      <c r="L14" s="127">
        <v>2012</v>
      </c>
      <c r="M14" s="127">
        <v>2013</v>
      </c>
      <c r="N14" s="60"/>
    </row>
    <row r="15" spans="2:14" ht="12.75">
      <c r="B15" s="130" t="s">
        <v>71</v>
      </c>
      <c r="C15" s="130" t="s">
        <v>72</v>
      </c>
      <c r="D15" s="133">
        <v>6625</v>
      </c>
      <c r="E15" s="133">
        <v>5551</v>
      </c>
      <c r="F15" s="133">
        <v>5654</v>
      </c>
      <c r="G15" s="133">
        <v>5400</v>
      </c>
      <c r="H15" s="133">
        <v>5687</v>
      </c>
      <c r="I15" s="133">
        <v>5347</v>
      </c>
      <c r="J15" s="133">
        <v>5479</v>
      </c>
      <c r="K15" s="133">
        <v>5124</v>
      </c>
      <c r="L15" s="133">
        <v>3895</v>
      </c>
      <c r="M15" s="134">
        <f>7597-3530</f>
        <v>4067</v>
      </c>
      <c r="N15" s="60"/>
    </row>
    <row r="16" spans="2:14" ht="12.75">
      <c r="B16" s="129"/>
      <c r="C16" s="129" t="s">
        <v>73</v>
      </c>
      <c r="D16" s="135">
        <v>3309</v>
      </c>
      <c r="E16" s="135">
        <v>4119</v>
      </c>
      <c r="F16" s="135">
        <v>3854</v>
      </c>
      <c r="G16" s="135">
        <v>3974</v>
      </c>
      <c r="H16" s="135">
        <v>3691</v>
      </c>
      <c r="I16" s="135">
        <v>3350</v>
      </c>
      <c r="J16" s="135">
        <v>3083</v>
      </c>
      <c r="K16" s="135">
        <v>3485</v>
      </c>
      <c r="L16" s="135">
        <v>3655</v>
      </c>
      <c r="M16" s="135">
        <v>3530</v>
      </c>
      <c r="N16" s="60"/>
    </row>
    <row r="17" spans="2:14" ht="12.75">
      <c r="B17" s="130" t="s">
        <v>102</v>
      </c>
      <c r="C17" s="130" t="s">
        <v>72</v>
      </c>
      <c r="D17" s="133">
        <v>2941</v>
      </c>
      <c r="E17" s="133">
        <v>1302</v>
      </c>
      <c r="F17" s="133">
        <v>1421</v>
      </c>
      <c r="G17" s="133">
        <v>1714</v>
      </c>
      <c r="H17" s="133">
        <v>1339</v>
      </c>
      <c r="I17" s="133">
        <v>1322</v>
      </c>
      <c r="J17" s="133">
        <v>1182</v>
      </c>
      <c r="K17" s="134">
        <v>889</v>
      </c>
      <c r="L17" s="134">
        <v>942</v>
      </c>
      <c r="M17" s="134">
        <f>+M19-M15</f>
        <v>730</v>
      </c>
      <c r="N17" s="60"/>
    </row>
    <row r="18" spans="2:14" ht="12.75">
      <c r="B18" s="129"/>
      <c r="C18" s="129" t="s">
        <v>73</v>
      </c>
      <c r="D18" s="136">
        <v>556</v>
      </c>
      <c r="E18" s="135">
        <v>1566</v>
      </c>
      <c r="F18" s="135">
        <v>1641</v>
      </c>
      <c r="G18" s="135">
        <v>1242</v>
      </c>
      <c r="H18" s="135">
        <v>1199</v>
      </c>
      <c r="I18" s="136">
        <v>883</v>
      </c>
      <c r="J18" s="136">
        <v>931</v>
      </c>
      <c r="K18" s="135">
        <v>1093</v>
      </c>
      <c r="L18" s="136">
        <v>899</v>
      </c>
      <c r="M18" s="136">
        <f>+M20-M16</f>
        <v>894</v>
      </c>
      <c r="N18" s="60"/>
    </row>
    <row r="19" spans="2:14" ht="12.75">
      <c r="B19" s="130" t="s">
        <v>104</v>
      </c>
      <c r="C19" s="130" t="s">
        <v>72</v>
      </c>
      <c r="D19" s="133">
        <v>9566</v>
      </c>
      <c r="E19" s="133">
        <v>6853</v>
      </c>
      <c r="F19" s="133">
        <v>7075</v>
      </c>
      <c r="G19" s="133">
        <v>7114</v>
      </c>
      <c r="H19" s="133">
        <v>7026</v>
      </c>
      <c r="I19" s="133">
        <v>6669</v>
      </c>
      <c r="J19" s="133">
        <v>6661</v>
      </c>
      <c r="K19" s="133">
        <v>6013</v>
      </c>
      <c r="L19" s="133">
        <v>4837</v>
      </c>
      <c r="M19" s="134">
        <f>9323-4463-63</f>
        <v>4797</v>
      </c>
      <c r="N19" s="65"/>
    </row>
    <row r="20" spans="2:14" ht="12.75">
      <c r="B20" s="129"/>
      <c r="C20" s="129" t="s">
        <v>73</v>
      </c>
      <c r="D20" s="135">
        <v>3865</v>
      </c>
      <c r="E20" s="135">
        <v>5685</v>
      </c>
      <c r="F20" s="135">
        <v>5495</v>
      </c>
      <c r="G20" s="135">
        <v>5216</v>
      </c>
      <c r="H20" s="135">
        <v>4890</v>
      </c>
      <c r="I20" s="135">
        <v>4233</v>
      </c>
      <c r="J20" s="135">
        <v>4014</v>
      </c>
      <c r="K20" s="135">
        <v>4578</v>
      </c>
      <c r="L20" s="135">
        <v>4554</v>
      </c>
      <c r="M20" s="136">
        <f>4463-39</f>
        <v>4424</v>
      </c>
      <c r="N20" s="61"/>
    </row>
    <row r="21" spans="2:14" ht="12.75">
      <c r="B21" s="176" t="s">
        <v>74</v>
      </c>
      <c r="C21" s="177"/>
      <c r="D21" s="137"/>
      <c r="E21" s="141">
        <v>543</v>
      </c>
      <c r="F21" s="141">
        <v>953</v>
      </c>
      <c r="G21" s="138">
        <v>1343</v>
      </c>
      <c r="H21" s="138">
        <v>1707</v>
      </c>
      <c r="I21" s="138">
        <v>1961</v>
      </c>
      <c r="J21" s="138">
        <v>2501</v>
      </c>
      <c r="K21" s="139">
        <v>2582</v>
      </c>
      <c r="L21" s="139">
        <v>2645</v>
      </c>
      <c r="M21" s="137">
        <v>3103</v>
      </c>
      <c r="N21" s="61"/>
    </row>
    <row r="22" spans="2:14" ht="12.75">
      <c r="B22" s="176" t="s">
        <v>75</v>
      </c>
      <c r="C22" s="177"/>
      <c r="D22" s="137"/>
      <c r="E22" s="137"/>
      <c r="F22" s="137"/>
      <c r="G22" s="137"/>
      <c r="H22" s="137"/>
      <c r="I22" s="137">
        <v>0</v>
      </c>
      <c r="J22" s="137">
        <v>0</v>
      </c>
      <c r="K22" s="137">
        <v>0</v>
      </c>
      <c r="L22" s="137">
        <v>0</v>
      </c>
      <c r="M22" s="137">
        <v>0</v>
      </c>
      <c r="N22" s="71"/>
    </row>
    <row r="23" spans="2:14" ht="66" customHeight="1">
      <c r="B23" s="170" t="s">
        <v>122</v>
      </c>
      <c r="C23" s="171"/>
      <c r="D23" s="171"/>
      <c r="E23" s="171"/>
      <c r="F23" s="171"/>
      <c r="G23" s="171"/>
      <c r="H23" s="171"/>
      <c r="I23" s="171"/>
      <c r="J23" s="171"/>
      <c r="K23" s="171"/>
      <c r="L23" s="171"/>
      <c r="M23" s="171"/>
      <c r="N23" s="71"/>
    </row>
    <row r="24" spans="4:13" ht="12">
      <c r="D24" s="67"/>
      <c r="E24" s="67"/>
      <c r="F24" s="67"/>
      <c r="G24" s="67"/>
      <c r="H24" s="67"/>
      <c r="I24" s="67"/>
      <c r="J24" s="67"/>
      <c r="K24" s="67"/>
      <c r="L24" s="67"/>
      <c r="M24" s="67"/>
    </row>
  </sheetData>
  <sheetProtection/>
  <mergeCells count="8">
    <mergeCell ref="B2:M2"/>
    <mergeCell ref="B23:M23"/>
    <mergeCell ref="B3:C3"/>
    <mergeCell ref="B14:C14"/>
    <mergeCell ref="B22:C22"/>
    <mergeCell ref="B11:C11"/>
    <mergeCell ref="B10:C10"/>
    <mergeCell ref="B21:C2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D25"/>
  <sheetViews>
    <sheetView showGridLines="0" zoomScalePageLayoutView="0" workbookViewId="0" topLeftCell="A1">
      <selection activeCell="C8" sqref="C8"/>
    </sheetView>
  </sheetViews>
  <sheetFormatPr defaultColWidth="11.421875" defaultRowHeight="15"/>
  <cols>
    <col min="1" max="1" width="3.7109375" style="0" customWidth="1"/>
    <col min="2" max="2" width="45.28125" style="0" customWidth="1"/>
    <col min="3" max="26" width="6.7109375" style="0" customWidth="1"/>
  </cols>
  <sheetData>
    <row r="1" ht="15">
      <c r="B1" s="70"/>
    </row>
    <row r="2" spans="2:30" ht="32.25" customHeight="1">
      <c r="B2" s="55"/>
      <c r="C2" s="168" t="s">
        <v>124</v>
      </c>
      <c r="D2" s="169"/>
      <c r="E2" s="169"/>
      <c r="F2" s="169"/>
      <c r="G2" s="169"/>
      <c r="H2" s="169"/>
      <c r="I2" s="169"/>
      <c r="J2" s="169"/>
      <c r="K2" s="169"/>
      <c r="L2" s="169"/>
      <c r="M2" s="55"/>
      <c r="N2" s="55"/>
      <c r="O2" s="55"/>
      <c r="P2" s="55"/>
      <c r="Q2" s="55"/>
      <c r="R2" s="55"/>
      <c r="S2" s="55"/>
      <c r="T2" s="55"/>
      <c r="U2" s="55"/>
      <c r="V2" s="55"/>
      <c r="W2" s="55"/>
      <c r="X2" s="55"/>
      <c r="Y2" s="55"/>
      <c r="Z2" s="55"/>
      <c r="AA2" s="55"/>
      <c r="AB2" s="55"/>
      <c r="AC2" s="55"/>
      <c r="AD2" s="55"/>
    </row>
    <row r="3" spans="2:30" ht="15">
      <c r="B3" s="55"/>
      <c r="C3" s="127">
        <v>1990</v>
      </c>
      <c r="D3" s="127">
        <v>1991</v>
      </c>
      <c r="E3" s="127">
        <v>1992</v>
      </c>
      <c r="F3" s="127">
        <v>1993</v>
      </c>
      <c r="G3" s="127">
        <v>1994</v>
      </c>
      <c r="H3" s="127">
        <v>1995</v>
      </c>
      <c r="I3" s="127">
        <v>1996</v>
      </c>
      <c r="J3" s="127">
        <v>1997</v>
      </c>
      <c r="K3" s="127">
        <v>1998</v>
      </c>
      <c r="L3" s="127">
        <v>1999</v>
      </c>
      <c r="M3" s="127">
        <v>2000</v>
      </c>
      <c r="N3" s="127">
        <v>2001</v>
      </c>
      <c r="O3" s="127">
        <v>2002</v>
      </c>
      <c r="P3" s="127">
        <v>2003</v>
      </c>
      <c r="Q3" s="127">
        <v>2004</v>
      </c>
      <c r="R3" s="127">
        <v>2005</v>
      </c>
      <c r="S3" s="127">
        <v>2006</v>
      </c>
      <c r="T3" s="127">
        <v>2007</v>
      </c>
      <c r="U3" s="127">
        <v>2008</v>
      </c>
      <c r="V3" s="127">
        <v>2009</v>
      </c>
      <c r="W3" s="127">
        <v>2010</v>
      </c>
      <c r="X3" s="127">
        <v>2011</v>
      </c>
      <c r="Y3" s="127">
        <v>2012</v>
      </c>
      <c r="Z3" s="127">
        <v>2013</v>
      </c>
      <c r="AA3" s="55"/>
      <c r="AB3" s="55"/>
      <c r="AC3" s="55"/>
      <c r="AD3" s="55"/>
    </row>
    <row r="4" spans="2:30" ht="15" customHeight="1">
      <c r="B4" s="157" t="s">
        <v>112</v>
      </c>
      <c r="C4" s="126">
        <v>208325.43712248397</v>
      </c>
      <c r="D4" s="126">
        <v>211533.21878019947</v>
      </c>
      <c r="E4" s="126">
        <v>204105.24018284387</v>
      </c>
      <c r="F4" s="126">
        <v>203679.29959289712</v>
      </c>
      <c r="G4" s="126">
        <v>202425.91442085546</v>
      </c>
      <c r="H4" s="126">
        <v>193762.99999999997</v>
      </c>
      <c r="I4" s="126">
        <v>202567.00000000006</v>
      </c>
      <c r="J4" s="126">
        <v>204157</v>
      </c>
      <c r="K4" s="126">
        <v>211075.00000000003</v>
      </c>
      <c r="L4" s="126">
        <v>210735</v>
      </c>
      <c r="M4" s="126">
        <v>205099</v>
      </c>
      <c r="N4" s="126">
        <v>215611</v>
      </c>
      <c r="O4" s="126">
        <v>220070</v>
      </c>
      <c r="P4" s="126">
        <v>216436</v>
      </c>
      <c r="Q4" s="126">
        <v>221587</v>
      </c>
      <c r="R4" s="126">
        <v>219422</v>
      </c>
      <c r="S4" s="126">
        <v>228688</v>
      </c>
      <c r="T4" s="126">
        <v>226812</v>
      </c>
      <c r="U4" s="126">
        <v>222142</v>
      </c>
      <c r="V4" s="126">
        <v>222241</v>
      </c>
      <c r="W4" s="126">
        <f>195341+27727+1402</f>
        <v>224470</v>
      </c>
      <c r="X4" s="126">
        <f>190955+28021+1598</f>
        <v>220574</v>
      </c>
      <c r="Y4" s="126">
        <f>186339+29255+1933</f>
        <v>217527</v>
      </c>
      <c r="Z4" s="126">
        <f>191461+32909+2605</f>
        <v>226975</v>
      </c>
      <c r="AA4" s="55"/>
      <c r="AB4" s="55"/>
      <c r="AC4" s="55"/>
      <c r="AD4" s="55"/>
    </row>
    <row r="5" spans="2:30" ht="15">
      <c r="B5" s="158" t="s">
        <v>113</v>
      </c>
      <c r="C5" s="126"/>
      <c r="D5" s="126"/>
      <c r="E5" s="126"/>
      <c r="F5" s="126"/>
      <c r="G5" s="126"/>
      <c r="H5" s="126"/>
      <c r="I5" s="126"/>
      <c r="J5" s="126"/>
      <c r="K5" s="126"/>
      <c r="L5" s="126"/>
      <c r="M5" s="126"/>
      <c r="N5" s="126"/>
      <c r="O5" s="126"/>
      <c r="P5" s="126"/>
      <c r="Q5" s="126"/>
      <c r="R5" s="126"/>
      <c r="S5" s="126"/>
      <c r="T5" s="126"/>
      <c r="U5" s="126"/>
      <c r="V5" s="126"/>
      <c r="W5" s="126">
        <v>225792</v>
      </c>
      <c r="X5" s="126">
        <v>222006</v>
      </c>
      <c r="Y5" s="126">
        <v>219148</v>
      </c>
      <c r="Z5" s="126">
        <v>229021</v>
      </c>
      <c r="AA5" s="55"/>
      <c r="AB5" s="55"/>
      <c r="AC5" s="55"/>
      <c r="AD5" s="55"/>
    </row>
    <row r="6" spans="2:30" ht="57" customHeight="1">
      <c r="B6" s="55"/>
      <c r="C6" s="180" t="s">
        <v>125</v>
      </c>
      <c r="D6" s="181"/>
      <c r="E6" s="181"/>
      <c r="F6" s="181"/>
      <c r="G6" s="181"/>
      <c r="H6" s="181"/>
      <c r="I6" s="181"/>
      <c r="J6" s="181"/>
      <c r="K6" s="181"/>
      <c r="L6" s="181"/>
      <c r="M6" s="181"/>
      <c r="N6" s="181"/>
      <c r="O6" s="181"/>
      <c r="P6" s="181"/>
      <c r="Q6" s="181"/>
      <c r="R6" s="181"/>
      <c r="S6" s="181"/>
      <c r="T6" s="181"/>
      <c r="U6" s="181"/>
      <c r="V6" s="181"/>
      <c r="W6" s="181"/>
      <c r="X6" s="181"/>
      <c r="Y6" s="181"/>
      <c r="Z6" s="181"/>
      <c r="AA6" s="55"/>
      <c r="AB6" s="55"/>
      <c r="AC6" s="55"/>
      <c r="AD6" s="55"/>
    </row>
    <row r="7" spans="2:30" ht="15">
      <c r="B7" s="55"/>
      <c r="C7" s="55"/>
      <c r="D7" s="55"/>
      <c r="E7" s="55"/>
      <c r="F7" s="55"/>
      <c r="G7" s="55"/>
      <c r="H7" s="55"/>
      <c r="I7" s="55"/>
      <c r="J7" s="55"/>
      <c r="K7" s="55"/>
      <c r="L7" s="55"/>
      <c r="M7" s="55"/>
      <c r="N7" s="55"/>
      <c r="O7" s="55"/>
      <c r="P7" s="55"/>
      <c r="Q7" s="55"/>
      <c r="R7" s="55"/>
      <c r="S7" s="56"/>
      <c r="T7" s="56"/>
      <c r="U7" s="56"/>
      <c r="V7" s="56"/>
      <c r="W7" s="56"/>
      <c r="X7" s="56"/>
      <c r="Y7" s="56"/>
      <c r="Z7" s="56"/>
      <c r="AA7" s="55"/>
      <c r="AB7" s="55"/>
      <c r="AC7" s="55"/>
      <c r="AD7" s="55"/>
    </row>
    <row r="8" spans="2:30" ht="1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row>
    <row r="9" spans="2:30" ht="1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row>
    <row r="10" spans="2:30" ht="1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row>
    <row r="11" spans="2:30" ht="1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row>
    <row r="12" spans="2:30" ht="1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row>
    <row r="13" spans="2:30" ht="1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row>
    <row r="14" spans="2:30" ht="1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row>
    <row r="15" spans="2:30" ht="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row>
    <row r="16" spans="2:30" ht="1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row>
    <row r="17" spans="2:30" ht="1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row>
    <row r="18" spans="2:30" ht="1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row>
    <row r="19" spans="2:30" ht="1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row>
    <row r="20" spans="2:30" ht="1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row>
    <row r="21" spans="2:30" ht="1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row>
    <row r="22" spans="2:30" ht="1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row>
    <row r="23" spans="2:30" ht="1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row>
    <row r="25" ht="15">
      <c r="B25" s="38"/>
    </row>
  </sheetData>
  <sheetProtection/>
  <mergeCells count="2">
    <mergeCell ref="C2:L2"/>
    <mergeCell ref="C6:Z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Z40"/>
  <sheetViews>
    <sheetView showGridLines="0" zoomScalePageLayoutView="0" workbookViewId="0" topLeftCell="A1">
      <selection activeCell="B2" sqref="B2:M2"/>
    </sheetView>
  </sheetViews>
  <sheetFormatPr defaultColWidth="4.7109375" defaultRowHeight="15"/>
  <cols>
    <col min="1" max="1" width="4.7109375" style="55" customWidth="1"/>
    <col min="2" max="2" width="11.00390625" style="55" customWidth="1"/>
    <col min="3" max="26" width="5.7109375" style="55" customWidth="1"/>
    <col min="27" max="27" width="4.7109375" style="55" customWidth="1"/>
    <col min="28" max="28" width="6.140625" style="55" bestFit="1" customWidth="1"/>
    <col min="29" max="16384" width="4.7109375" style="55" customWidth="1"/>
  </cols>
  <sheetData>
    <row r="1" ht="12.75">
      <c r="C1" s="72"/>
    </row>
    <row r="2" spans="2:13" ht="28.5" customHeight="1">
      <c r="B2" s="168" t="s">
        <v>127</v>
      </c>
      <c r="C2" s="169"/>
      <c r="D2" s="169"/>
      <c r="E2" s="169"/>
      <c r="F2" s="169"/>
      <c r="G2" s="169"/>
      <c r="H2" s="169"/>
      <c r="I2" s="169"/>
      <c r="J2" s="169"/>
      <c r="K2" s="169"/>
      <c r="L2" s="169"/>
      <c r="M2" s="169"/>
    </row>
    <row r="3" spans="2:26" ht="12.75">
      <c r="B3" s="143"/>
      <c r="C3" s="127">
        <v>1990</v>
      </c>
      <c r="D3" s="127">
        <v>1991</v>
      </c>
      <c r="E3" s="127">
        <v>1992</v>
      </c>
      <c r="F3" s="127">
        <v>1993</v>
      </c>
      <c r="G3" s="127">
        <v>1994</v>
      </c>
      <c r="H3" s="127">
        <v>1995</v>
      </c>
      <c r="I3" s="127">
        <v>1996</v>
      </c>
      <c r="J3" s="127">
        <v>1997</v>
      </c>
      <c r="K3" s="127">
        <v>1998</v>
      </c>
      <c r="L3" s="127">
        <v>1999</v>
      </c>
      <c r="M3" s="127">
        <v>2000</v>
      </c>
      <c r="N3" s="127">
        <v>2001</v>
      </c>
      <c r="O3" s="127">
        <v>2002</v>
      </c>
      <c r="P3" s="127">
        <v>2003</v>
      </c>
      <c r="Q3" s="127">
        <v>2004</v>
      </c>
      <c r="R3" s="127">
        <v>2005</v>
      </c>
      <c r="S3" s="127">
        <v>2006</v>
      </c>
      <c r="T3" s="127">
        <v>2007</v>
      </c>
      <c r="U3" s="127">
        <v>2008</v>
      </c>
      <c r="V3" s="127">
        <v>2009</v>
      </c>
      <c r="W3" s="127">
        <v>2010</v>
      </c>
      <c r="X3" s="127">
        <v>2011</v>
      </c>
      <c r="Y3" s="127">
        <v>2012</v>
      </c>
      <c r="Z3" s="127">
        <v>2013</v>
      </c>
    </row>
    <row r="4" spans="2:26" ht="12.75">
      <c r="B4" s="128" t="s">
        <v>48</v>
      </c>
      <c r="C4" s="126"/>
      <c r="D4" s="126"/>
      <c r="E4" s="126"/>
      <c r="F4" s="126"/>
      <c r="G4" s="126"/>
      <c r="H4" s="126"/>
      <c r="I4" s="126"/>
      <c r="J4" s="126"/>
      <c r="K4" s="126"/>
      <c r="L4" s="126"/>
      <c r="M4" s="126"/>
      <c r="N4" s="126"/>
      <c r="O4" s="126"/>
      <c r="P4" s="126"/>
      <c r="Q4" s="126"/>
      <c r="R4" s="126"/>
      <c r="S4" s="126"/>
      <c r="T4" s="126"/>
      <c r="U4" s="126"/>
      <c r="V4" s="126"/>
      <c r="W4" s="126"/>
      <c r="X4" s="126"/>
      <c r="Y4" s="126"/>
      <c r="Z4" s="126"/>
    </row>
    <row r="5" spans="2:26" ht="12.75">
      <c r="B5" s="130" t="s">
        <v>49</v>
      </c>
      <c r="C5" s="150">
        <v>6.953195322048426</v>
      </c>
      <c r="D5" s="150">
        <v>7.391316088216761</v>
      </c>
      <c r="E5" s="150">
        <v>7.30327585754406</v>
      </c>
      <c r="F5" s="150">
        <v>7.422330631943868</v>
      </c>
      <c r="G5" s="150">
        <v>7.654507505975597</v>
      </c>
      <c r="H5" s="150">
        <v>7.612516068932645</v>
      </c>
      <c r="I5" s="150">
        <v>8.297073656947232</v>
      </c>
      <c r="J5" s="150">
        <v>8.309343892846117</v>
      </c>
      <c r="K5" s="150">
        <v>8.60063938160265</v>
      </c>
      <c r="L5" s="150">
        <v>8.856025023206932</v>
      </c>
      <c r="M5" s="150">
        <v>8.40178437699164</v>
      </c>
      <c r="N5" s="150">
        <v>8.972042294987732</v>
      </c>
      <c r="O5" s="150">
        <v>9.252164726056238</v>
      </c>
      <c r="P5" s="150">
        <v>9.32335213032368</v>
      </c>
      <c r="Q5" s="150">
        <v>10.283408474593294</v>
      </c>
      <c r="R5" s="150">
        <v>10.880025464382605</v>
      </c>
      <c r="S5" s="150">
        <v>11.487623247158616</v>
      </c>
      <c r="T5" s="150">
        <v>11.373493541458743</v>
      </c>
      <c r="U5" s="150">
        <v>10.953572140363901</v>
      </c>
      <c r="V5" s="150">
        <v>10.814588145192845</v>
      </c>
      <c r="W5" s="150">
        <v>10.901805620899662</v>
      </c>
      <c r="X5" s="150">
        <v>10.414447076279258</v>
      </c>
      <c r="Y5" s="150">
        <v>10.02894604371415</v>
      </c>
      <c r="Z5" s="150">
        <v>9.459941974871773</v>
      </c>
    </row>
    <row r="6" spans="2:26" ht="12.75">
      <c r="B6" s="153" t="s">
        <v>50</v>
      </c>
      <c r="C6" s="152">
        <v>16.77153599398981</v>
      </c>
      <c r="D6" s="152">
        <v>17.62226331297359</v>
      </c>
      <c r="E6" s="152">
        <v>17.14319255906091</v>
      </c>
      <c r="F6" s="152">
        <v>17.55689848268549</v>
      </c>
      <c r="G6" s="152">
        <v>18.145292929354817</v>
      </c>
      <c r="H6" s="152">
        <v>18.777570054030377</v>
      </c>
      <c r="I6" s="152">
        <v>20.570487603477954</v>
      </c>
      <c r="J6" s="152">
        <v>20.75479746600022</v>
      </c>
      <c r="K6" s="152">
        <v>21.15148763206439</v>
      </c>
      <c r="L6" s="152">
        <v>22.744608932261283</v>
      </c>
      <c r="M6" s="152">
        <v>21.53923838850327</v>
      </c>
      <c r="N6" s="152">
        <v>22.329363276818313</v>
      </c>
      <c r="O6" s="152">
        <v>22.364304885616026</v>
      </c>
      <c r="P6" s="152">
        <v>22.462940033194663</v>
      </c>
      <c r="Q6" s="152">
        <v>23.104389917863763</v>
      </c>
      <c r="R6" s="152">
        <v>23.17723614653908</v>
      </c>
      <c r="S6" s="152">
        <v>23.745423037289882</v>
      </c>
      <c r="T6" s="152">
        <v>23.563395856492694</v>
      </c>
      <c r="U6" s="152">
        <v>23.15577154262912</v>
      </c>
      <c r="V6" s="152">
        <v>22.824373588282448</v>
      </c>
      <c r="W6" s="152">
        <v>22.926464257904787</v>
      </c>
      <c r="X6" s="152">
        <v>22.0505505903005</v>
      </c>
      <c r="Y6" s="152">
        <v>21.96092295543822</v>
      </c>
      <c r="Z6" s="152">
        <v>21.800700561605197</v>
      </c>
    </row>
    <row r="7" spans="2:26" ht="12.75">
      <c r="B7" s="153" t="s">
        <v>105</v>
      </c>
      <c r="C7" s="152">
        <v>22.234119604408153</v>
      </c>
      <c r="D7" s="152">
        <v>22.696760541227103</v>
      </c>
      <c r="E7" s="152">
        <v>22.11347870852566</v>
      </c>
      <c r="F7" s="152">
        <v>22.165126432728655</v>
      </c>
      <c r="G7" s="152">
        <v>22.153350144400186</v>
      </c>
      <c r="H7" s="152">
        <v>21.718716195219972</v>
      </c>
      <c r="I7" s="152">
        <v>22.82144188380202</v>
      </c>
      <c r="J7" s="152">
        <v>23.462674847293666</v>
      </c>
      <c r="K7" s="152">
        <v>24.916012921612662</v>
      </c>
      <c r="L7" s="152">
        <v>25.245008694822484</v>
      </c>
      <c r="M7" s="152">
        <v>25.286008815801186</v>
      </c>
      <c r="N7" s="152">
        <v>27.19186872854383</v>
      </c>
      <c r="O7" s="152">
        <v>28.134307526244847</v>
      </c>
      <c r="P7" s="152">
        <v>27.37678905426219</v>
      </c>
      <c r="Q7" s="152">
        <v>27.58504430066115</v>
      </c>
      <c r="R7" s="152">
        <v>27.48557476975917</v>
      </c>
      <c r="S7" s="152">
        <v>27.99172542150642</v>
      </c>
      <c r="T7" s="152">
        <v>27.977188139506197</v>
      </c>
      <c r="U7" s="152">
        <v>27.487082165038558</v>
      </c>
      <c r="V7" s="152">
        <v>27.637862767178888</v>
      </c>
      <c r="W7" s="152">
        <v>27.881423906885882</v>
      </c>
      <c r="X7" s="152">
        <v>27.5984068100588</v>
      </c>
      <c r="Y7" s="152">
        <v>27.869240797172758</v>
      </c>
      <c r="Z7" s="152">
        <v>28.820774582141624</v>
      </c>
    </row>
    <row r="8" spans="2:26" ht="12.75">
      <c r="B8" s="153" t="s">
        <v>106</v>
      </c>
      <c r="C8" s="152">
        <v>22.08464897199897</v>
      </c>
      <c r="D8" s="152">
        <v>22.10307224000188</v>
      </c>
      <c r="E8" s="152">
        <v>21.312918165630972</v>
      </c>
      <c r="F8" s="152">
        <v>21.07986085100177</v>
      </c>
      <c r="G8" s="152">
        <v>20.805465283971493</v>
      </c>
      <c r="H8" s="152">
        <v>19.709782354062927</v>
      </c>
      <c r="I8" s="152">
        <v>20.639272646676663</v>
      </c>
      <c r="J8" s="152">
        <v>20.746406081370083</v>
      </c>
      <c r="K8" s="152">
        <v>21.620674991266487</v>
      </c>
      <c r="L8" s="152">
        <v>21.5579211596802</v>
      </c>
      <c r="M8" s="152">
        <v>21.318565231305758</v>
      </c>
      <c r="N8" s="152">
        <v>22.277753647381395</v>
      </c>
      <c r="O8" s="152">
        <v>23.033440037174376</v>
      </c>
      <c r="P8" s="152">
        <v>22.81924348691889</v>
      </c>
      <c r="Q8" s="152">
        <v>23.730659369668142</v>
      </c>
      <c r="R8" s="152">
        <v>23.50335501957976</v>
      </c>
      <c r="S8" s="152">
        <v>24.63422273417736</v>
      </c>
      <c r="T8" s="152">
        <v>24.655265620008407</v>
      </c>
      <c r="U8" s="152">
        <v>24.075003895415637</v>
      </c>
      <c r="V8" s="152">
        <v>24.023923146559586</v>
      </c>
      <c r="W8" s="152">
        <v>24.595773837103206</v>
      </c>
      <c r="X8" s="152">
        <v>24.346553458786328</v>
      </c>
      <c r="Y8" s="152">
        <v>24.275578035039253</v>
      </c>
      <c r="Z8" s="152">
        <v>26.31410642307721</v>
      </c>
    </row>
    <row r="9" spans="2:26" ht="12.75">
      <c r="B9" s="153" t="s">
        <v>107</v>
      </c>
      <c r="C9" s="152">
        <v>18.97834126089225</v>
      </c>
      <c r="D9" s="152">
        <v>19.15195897722832</v>
      </c>
      <c r="E9" s="152">
        <v>18.335908620931832</v>
      </c>
      <c r="F9" s="152">
        <v>18.174453065760623</v>
      </c>
      <c r="G9" s="152">
        <v>18.1409054216293</v>
      </c>
      <c r="H9" s="152">
        <v>17.018986217280442</v>
      </c>
      <c r="I9" s="152">
        <v>17.803711569617683</v>
      </c>
      <c r="J9" s="152">
        <v>17.88830105466018</v>
      </c>
      <c r="K9" s="152">
        <v>17.95515137757167</v>
      </c>
      <c r="L9" s="152">
        <v>18.34540566444491</v>
      </c>
      <c r="M9" s="152">
        <v>17.682253512823866</v>
      </c>
      <c r="N9" s="152">
        <v>18.82522645257842</v>
      </c>
      <c r="O9" s="152">
        <v>19.169915450578955</v>
      </c>
      <c r="P9" s="152">
        <v>18.632172349423357</v>
      </c>
      <c r="Q9" s="152">
        <v>18.97818088836922</v>
      </c>
      <c r="R9" s="152">
        <v>18.406399158961307</v>
      </c>
      <c r="S9" s="152">
        <v>19.10245083098486</v>
      </c>
      <c r="T9" s="152">
        <v>19.000065412971693</v>
      </c>
      <c r="U9" s="152">
        <v>18.85641515443649</v>
      </c>
      <c r="V9" s="152">
        <v>19.219392204756186</v>
      </c>
      <c r="W9" s="152">
        <v>19.959594871951776</v>
      </c>
      <c r="X9" s="152">
        <v>19.975902665080078</v>
      </c>
      <c r="Y9" s="152">
        <v>19.768876360214527</v>
      </c>
      <c r="Z9" s="152">
        <v>20.99462336875895</v>
      </c>
    </row>
    <row r="10" spans="2:26" ht="12.75">
      <c r="B10" s="153" t="s">
        <v>108</v>
      </c>
      <c r="C10" s="152">
        <v>13.324876638553576</v>
      </c>
      <c r="D10" s="152">
        <v>13.590060110993088</v>
      </c>
      <c r="E10" s="152">
        <v>12.938220542368587</v>
      </c>
      <c r="F10" s="152">
        <v>13.069277694448582</v>
      </c>
      <c r="G10" s="152">
        <v>12.992925382850043</v>
      </c>
      <c r="H10" s="152">
        <v>12.356129437998131</v>
      </c>
      <c r="I10" s="152">
        <v>12.976246140259335</v>
      </c>
      <c r="J10" s="152">
        <v>13.311372043052602</v>
      </c>
      <c r="K10" s="152">
        <v>13.666969156618153</v>
      </c>
      <c r="L10" s="152">
        <v>13.752895942617618</v>
      </c>
      <c r="M10" s="152">
        <v>13.37418156505939</v>
      </c>
      <c r="N10" s="152">
        <v>13.782401481631736</v>
      </c>
      <c r="O10" s="152">
        <v>13.763254009852062</v>
      </c>
      <c r="P10" s="152">
        <v>13.407619792820412</v>
      </c>
      <c r="Q10" s="152">
        <v>13.756018979895329</v>
      </c>
      <c r="R10" s="152">
        <v>13.398245914017517</v>
      </c>
      <c r="S10" s="152">
        <v>14.280010446982377</v>
      </c>
      <c r="T10" s="152">
        <v>14.002878507249264</v>
      </c>
      <c r="U10" s="152">
        <v>13.738541679100203</v>
      </c>
      <c r="V10" s="152">
        <v>13.910262401559205</v>
      </c>
      <c r="W10" s="152">
        <v>13.966893906533706</v>
      </c>
      <c r="X10" s="152">
        <v>13.773937387259902</v>
      </c>
      <c r="Y10" s="152">
        <v>13.474755273967777</v>
      </c>
      <c r="Z10" s="152">
        <v>14.610850798675688</v>
      </c>
    </row>
    <row r="11" spans="2:26" ht="12.75">
      <c r="B11" s="153" t="s">
        <v>109</v>
      </c>
      <c r="C11" s="152">
        <v>5.786217885574747</v>
      </c>
      <c r="D11" s="152">
        <v>5.483404185676545</v>
      </c>
      <c r="E11" s="152">
        <v>5.343893986806251</v>
      </c>
      <c r="F11" s="152">
        <v>5.323581802259516</v>
      </c>
      <c r="G11" s="152">
        <v>5.233133931046241</v>
      </c>
      <c r="H11" s="152">
        <v>5.095736627473074</v>
      </c>
      <c r="I11" s="152">
        <v>5.221070153542869</v>
      </c>
      <c r="J11" s="152">
        <v>5.328636998229997</v>
      </c>
      <c r="K11" s="152">
        <v>5.597524228128199</v>
      </c>
      <c r="L11" s="152">
        <v>5.941581467724551</v>
      </c>
      <c r="M11" s="152">
        <v>5.476340381312208</v>
      </c>
      <c r="N11" s="152">
        <v>5.614619049175591</v>
      </c>
      <c r="O11" s="152">
        <v>5.811066891606599</v>
      </c>
      <c r="P11" s="152">
        <v>5.761092366052329</v>
      </c>
      <c r="Q11" s="152">
        <v>5.810901817103663</v>
      </c>
      <c r="R11" s="152">
        <v>5.704202928977503</v>
      </c>
      <c r="S11" s="152">
        <v>6.109814356756271</v>
      </c>
      <c r="T11" s="152">
        <v>5.947853650217607</v>
      </c>
      <c r="U11" s="152">
        <v>5.8607309528392735</v>
      </c>
      <c r="V11" s="152">
        <v>5.93686852401334</v>
      </c>
      <c r="W11" s="152">
        <v>6.1773231016451975</v>
      </c>
      <c r="X11" s="152">
        <v>6.134068757765503</v>
      </c>
      <c r="Y11" s="152">
        <v>6.020430197519995</v>
      </c>
      <c r="Z11" s="152">
        <v>6.374454510025419</v>
      </c>
    </row>
    <row r="12" spans="2:26" ht="12.75">
      <c r="B12" s="129" t="s">
        <v>110</v>
      </c>
      <c r="C12" s="151">
        <v>0.6579091337139644</v>
      </c>
      <c r="D12" s="151">
        <v>0.7674916335643693</v>
      </c>
      <c r="E12" s="151">
        <v>0.6682027543173478</v>
      </c>
      <c r="F12" s="151">
        <v>0.6629575977870895</v>
      </c>
      <c r="G12" s="151">
        <v>0.6053390405262944</v>
      </c>
      <c r="H12" s="151">
        <v>0.5426401626590588</v>
      </c>
      <c r="I12" s="151">
        <v>0.5283050810963623</v>
      </c>
      <c r="J12" s="151">
        <v>0.5415500164289833</v>
      </c>
      <c r="K12" s="151">
        <v>1.014228536899828</v>
      </c>
      <c r="L12" s="151">
        <v>0.5440949792278599</v>
      </c>
      <c r="M12" s="151">
        <v>0.6142731677511053</v>
      </c>
      <c r="N12" s="151">
        <v>0.5907869441932593</v>
      </c>
      <c r="O12" s="151">
        <v>0.5708159657535963</v>
      </c>
      <c r="P12" s="151">
        <v>0.7513367386198432</v>
      </c>
      <c r="Q12" s="151">
        <v>0.6385092468906532</v>
      </c>
      <c r="R12" s="151">
        <v>0.540300542264693</v>
      </c>
      <c r="S12" s="151">
        <v>0.606869106307017</v>
      </c>
      <c r="T12" s="151">
        <v>0.6151355174223307</v>
      </c>
      <c r="U12" s="151">
        <v>0.5996961037620201</v>
      </c>
      <c r="V12" s="151">
        <v>0.6607349844915905</v>
      </c>
      <c r="W12" s="151">
        <v>0.6187760064037809</v>
      </c>
      <c r="X12" s="151">
        <v>0.6262796939387694</v>
      </c>
      <c r="Y12" s="151">
        <v>0.5881563923260251</v>
      </c>
      <c r="Z12" s="151">
        <v>0.6224277455539152</v>
      </c>
    </row>
    <row r="13" spans="2:26" ht="12.75">
      <c r="B13" s="128" t="s">
        <v>111</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row>
    <row r="14" spans="2:26" ht="12.75">
      <c r="B14" s="128" t="s">
        <v>51</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row>
    <row r="15" spans="2:26" ht="12.75">
      <c r="B15" s="128" t="s">
        <v>52</v>
      </c>
      <c r="C15" s="142">
        <v>14.359700497391822</v>
      </c>
      <c r="D15" s="142">
        <v>14.478163259439185</v>
      </c>
      <c r="E15" s="142">
        <v>13.86355932910001</v>
      </c>
      <c r="F15" s="142">
        <v>13.742014355819077</v>
      </c>
      <c r="G15" s="142">
        <v>13.589917680807892</v>
      </c>
      <c r="H15" s="142">
        <v>12.94941565797765</v>
      </c>
      <c r="I15" s="142">
        <v>13.462324206969175</v>
      </c>
      <c r="J15" s="142">
        <v>13.58253915515844</v>
      </c>
      <c r="K15" s="142">
        <v>14.076562495102465</v>
      </c>
      <c r="L15" s="142">
        <v>14.111140760194308</v>
      </c>
      <c r="M15" s="142">
        <v>13.750816689188124</v>
      </c>
      <c r="N15" s="142">
        <v>14.468355978018346</v>
      </c>
      <c r="O15" s="142">
        <v>14.752226676573434</v>
      </c>
      <c r="P15" s="142">
        <v>14.499091478873032</v>
      </c>
      <c r="Q15" s="142">
        <v>14.821362341029724</v>
      </c>
      <c r="R15" s="142">
        <v>14.655191702279643</v>
      </c>
      <c r="S15" s="142">
        <v>15.260900688631727</v>
      </c>
      <c r="T15" s="142">
        <v>15.152434242048265</v>
      </c>
      <c r="U15" s="142">
        <v>14.86973668339179</v>
      </c>
      <c r="V15" s="142">
        <v>14.929228226056411</v>
      </c>
      <c r="W15" s="142">
        <v>15.231043828915185</v>
      </c>
      <c r="X15" s="142">
        <v>15.031036994299019</v>
      </c>
      <c r="Y15" s="142">
        <v>14.898274389945453</v>
      </c>
      <c r="Z15" s="142">
        <v>15.629365575390258</v>
      </c>
    </row>
    <row r="16" spans="2:26" ht="12.75">
      <c r="B16" s="128" t="s">
        <v>53</v>
      </c>
      <c r="C16" s="142">
        <v>14.174022740525116</v>
      </c>
      <c r="D16" s="142">
        <v>14.290444007747999</v>
      </c>
      <c r="E16" s="142">
        <v>13.6825648722828</v>
      </c>
      <c r="F16" s="142">
        <v>13.559706961771225</v>
      </c>
      <c r="G16" s="142">
        <v>13.404934048221214</v>
      </c>
      <c r="H16" s="142">
        <v>12.769040998139305</v>
      </c>
      <c r="I16" s="142">
        <v>13.277941083312255</v>
      </c>
      <c r="J16" s="142">
        <v>13.39741927130521</v>
      </c>
      <c r="K16" s="142">
        <v>13.885150532893052</v>
      </c>
      <c r="L16" s="142">
        <v>14.061338442884903</v>
      </c>
      <c r="M16" s="142">
        <v>13.694631390772322</v>
      </c>
      <c r="N16" s="142">
        <v>14.407740799701326</v>
      </c>
      <c r="O16" s="142">
        <v>14.695003092400139</v>
      </c>
      <c r="P16" s="142">
        <v>14.438908393771788</v>
      </c>
      <c r="Q16" s="142">
        <v>14.762057621024319</v>
      </c>
      <c r="R16" s="142">
        <v>14.58477425005978</v>
      </c>
      <c r="S16" s="142">
        <v>15.179495958407152</v>
      </c>
      <c r="T16" s="142">
        <v>15.064972970848176</v>
      </c>
      <c r="U16" s="142">
        <v>14.789590148911252</v>
      </c>
      <c r="V16" s="142">
        <v>14.846691100117006</v>
      </c>
      <c r="W16" s="142">
        <v>15.101596792154517</v>
      </c>
      <c r="X16" s="142">
        <v>14.896266453487259</v>
      </c>
      <c r="Y16" s="142">
        <v>14.758943470080316</v>
      </c>
      <c r="Z16" s="142">
        <v>15.472010865564366</v>
      </c>
    </row>
    <row r="17" spans="2:26" ht="30.75" customHeight="1">
      <c r="B17" s="170" t="s">
        <v>126</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row>
    <row r="25" spans="19:26" ht="12.75">
      <c r="S25" s="56"/>
      <c r="T25" s="56"/>
      <c r="U25" s="56"/>
      <c r="V25" s="56"/>
      <c r="W25" s="56"/>
      <c r="X25" s="56"/>
      <c r="Y25" s="56"/>
      <c r="Z25" s="56"/>
    </row>
    <row r="37" ht="12.75">
      <c r="C37" s="38"/>
    </row>
    <row r="38" ht="12.75">
      <c r="C38" s="74"/>
    </row>
    <row r="39" ht="12.75">
      <c r="C39" s="74"/>
    </row>
    <row r="40" ht="12.75">
      <c r="C40" s="74"/>
    </row>
  </sheetData>
  <sheetProtection/>
  <mergeCells count="2">
    <mergeCell ref="B2:M2"/>
    <mergeCell ref="B17:Z1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26"/>
  <sheetViews>
    <sheetView showGridLines="0" zoomScalePageLayoutView="0" workbookViewId="0" topLeftCell="A1">
      <selection activeCell="G17" sqref="G17"/>
    </sheetView>
  </sheetViews>
  <sheetFormatPr defaultColWidth="8.421875" defaultRowHeight="15"/>
  <cols>
    <col min="1" max="1" width="3.7109375" style="0" customWidth="1"/>
    <col min="2" max="2" width="19.8515625" style="0" customWidth="1"/>
    <col min="3" max="26" width="5.7109375" style="0" customWidth="1"/>
  </cols>
  <sheetData>
    <row r="1" ht="15">
      <c r="C1" s="75"/>
    </row>
    <row r="2" spans="1:26" ht="28.5" customHeight="1">
      <c r="A2" s="78"/>
      <c r="B2" s="168" t="s">
        <v>128</v>
      </c>
      <c r="C2" s="169"/>
      <c r="D2" s="169"/>
      <c r="E2" s="169"/>
      <c r="F2" s="169"/>
      <c r="G2" s="169"/>
      <c r="H2" s="169"/>
      <c r="I2" s="169"/>
      <c r="J2" s="169"/>
      <c r="K2" s="169"/>
      <c r="L2" s="169"/>
      <c r="M2" s="169"/>
      <c r="N2" s="169"/>
      <c r="O2" s="169"/>
      <c r="P2" s="169"/>
      <c r="Q2" s="169"/>
      <c r="R2" s="169"/>
      <c r="S2" s="169"/>
      <c r="T2" s="169"/>
      <c r="U2" s="169"/>
      <c r="V2" s="169"/>
      <c r="W2" s="169"/>
      <c r="X2" s="169"/>
      <c r="Y2" s="169"/>
      <c r="Z2" s="169"/>
    </row>
    <row r="3" spans="1:26" ht="15">
      <c r="A3" s="78"/>
      <c r="B3" s="147" t="s">
        <v>79</v>
      </c>
      <c r="C3" s="148">
        <v>1990</v>
      </c>
      <c r="D3" s="148">
        <v>1991</v>
      </c>
      <c r="E3" s="148">
        <v>1992</v>
      </c>
      <c r="F3" s="148">
        <v>1993</v>
      </c>
      <c r="G3" s="148">
        <v>1994</v>
      </c>
      <c r="H3" s="148">
        <v>1995</v>
      </c>
      <c r="I3" s="148">
        <v>1996</v>
      </c>
      <c r="J3" s="148">
        <v>1997</v>
      </c>
      <c r="K3" s="148">
        <v>1998</v>
      </c>
      <c r="L3" s="148">
        <v>1999</v>
      </c>
      <c r="M3" s="148">
        <v>2000</v>
      </c>
      <c r="N3" s="148">
        <v>2001</v>
      </c>
      <c r="O3" s="148">
        <v>2002</v>
      </c>
      <c r="P3" s="127">
        <v>2003</v>
      </c>
      <c r="Q3" s="127">
        <v>2004</v>
      </c>
      <c r="R3" s="127">
        <v>2005</v>
      </c>
      <c r="S3" s="127">
        <v>2006</v>
      </c>
      <c r="T3" s="127">
        <v>2007</v>
      </c>
      <c r="U3" s="127">
        <v>2008</v>
      </c>
      <c r="V3" s="127">
        <v>2009</v>
      </c>
      <c r="W3" s="127">
        <v>2010</v>
      </c>
      <c r="X3" s="127">
        <v>2011</v>
      </c>
      <c r="Y3" s="127">
        <v>2012</v>
      </c>
      <c r="Z3" s="127">
        <v>2013</v>
      </c>
    </row>
    <row r="4" spans="1:26" ht="15">
      <c r="A4" s="78"/>
      <c r="B4" s="144" t="s">
        <v>80</v>
      </c>
      <c r="C4" s="145">
        <v>0.46973322542983326</v>
      </c>
      <c r="D4" s="145">
        <v>0.4763822133340539</v>
      </c>
      <c r="E4" s="145">
        <v>0.4597593265836572</v>
      </c>
      <c r="F4" s="145">
        <v>0.45975707608113375</v>
      </c>
      <c r="G4" s="145">
        <v>0.4589097043987542</v>
      </c>
      <c r="H4" s="145">
        <v>0.44260264328832666</v>
      </c>
      <c r="I4" s="145">
        <v>0.46598243355277225</v>
      </c>
      <c r="J4" s="145">
        <v>0.4728323318157163</v>
      </c>
      <c r="K4" s="145">
        <v>0.4919576994694218</v>
      </c>
      <c r="L4" s="145">
        <v>0.4989918324767315</v>
      </c>
      <c r="M4" s="145">
        <v>0.487041943278249</v>
      </c>
      <c r="N4" s="145">
        <v>0.512988134956121</v>
      </c>
      <c r="O4" s="145">
        <v>0.524899103355453</v>
      </c>
      <c r="P4" s="145">
        <v>0.5166372053978455</v>
      </c>
      <c r="Q4" s="145">
        <v>0.5295555782724481</v>
      </c>
      <c r="R4" s="145">
        <v>0.5241849403540256</v>
      </c>
      <c r="S4" s="145">
        <v>0.545579180299627</v>
      </c>
      <c r="T4" s="145">
        <v>0.5422392065742392</v>
      </c>
      <c r="U4" s="145">
        <v>0.5322596092593108</v>
      </c>
      <c r="V4" s="145">
        <v>0.5350377317549375</v>
      </c>
      <c r="W4" s="145">
        <v>0.5445572735311264</v>
      </c>
      <c r="X4" s="145">
        <v>0.5375989958429583</v>
      </c>
      <c r="Y4" s="145">
        <v>0.5339739463524165</v>
      </c>
      <c r="Z4" s="145">
        <v>0.5606674141889898</v>
      </c>
    </row>
    <row r="5" spans="1:26" ht="15">
      <c r="A5" s="78"/>
      <c r="B5" s="144" t="s">
        <v>129</v>
      </c>
      <c r="C5" s="146">
        <v>14.359700497391822</v>
      </c>
      <c r="D5" s="146">
        <v>14.478163259439185</v>
      </c>
      <c r="E5" s="146">
        <v>13.86355932910001</v>
      </c>
      <c r="F5" s="146">
        <v>13.742014355819077</v>
      </c>
      <c r="G5" s="146">
        <v>13.589917680807892</v>
      </c>
      <c r="H5" s="146">
        <v>12.94941565797765</v>
      </c>
      <c r="I5" s="146">
        <v>13.462324206969175</v>
      </c>
      <c r="J5" s="146">
        <v>13.58253915515844</v>
      </c>
      <c r="K5" s="146">
        <v>14.076562495102465</v>
      </c>
      <c r="L5" s="146">
        <v>14.111140760194308</v>
      </c>
      <c r="M5" s="146">
        <v>13.750816689188124</v>
      </c>
      <c r="N5" s="146">
        <v>14.468355978018346</v>
      </c>
      <c r="O5" s="146">
        <v>14.752226676573434</v>
      </c>
      <c r="P5" s="146">
        <v>14.499091478873032</v>
      </c>
      <c r="Q5" s="146">
        <v>14.821362341029724</v>
      </c>
      <c r="R5" s="146">
        <v>14.655191702279643</v>
      </c>
      <c r="S5" s="146">
        <v>15.260900688631727</v>
      </c>
      <c r="T5" s="146">
        <v>15.152434242048265</v>
      </c>
      <c r="U5" s="146">
        <v>14.86973668339179</v>
      </c>
      <c r="V5" s="146">
        <v>14.929228226056411</v>
      </c>
      <c r="W5" s="146">
        <v>15.231043828915185</v>
      </c>
      <c r="X5" s="146">
        <v>15.030427669105006</v>
      </c>
      <c r="Y5" s="146">
        <v>14.897730548138158</v>
      </c>
      <c r="Z5" s="146">
        <v>15.629365575390258</v>
      </c>
    </row>
    <row r="6" spans="2:26" ht="31.5" customHeight="1">
      <c r="B6" s="182" t="s">
        <v>130</v>
      </c>
      <c r="C6" s="183"/>
      <c r="D6" s="183"/>
      <c r="E6" s="183"/>
      <c r="F6" s="183"/>
      <c r="G6" s="183"/>
      <c r="H6" s="183"/>
      <c r="I6" s="183"/>
      <c r="J6" s="183"/>
      <c r="K6" s="183"/>
      <c r="L6" s="183"/>
      <c r="M6" s="183"/>
      <c r="N6" s="183"/>
      <c r="O6" s="183"/>
      <c r="P6" s="183"/>
      <c r="Q6" s="183"/>
      <c r="R6" s="183"/>
      <c r="S6" s="183"/>
      <c r="T6" s="183"/>
      <c r="U6" s="183"/>
      <c r="V6" s="183"/>
      <c r="W6" s="183"/>
      <c r="X6" s="183"/>
      <c r="Y6" s="183"/>
      <c r="Z6" s="183"/>
    </row>
    <row r="7" spans="3:26" ht="15">
      <c r="C7" s="63"/>
      <c r="D7" s="63"/>
      <c r="E7" s="63"/>
      <c r="F7" s="63"/>
      <c r="G7" s="63"/>
      <c r="H7" s="63"/>
      <c r="I7" s="63"/>
      <c r="J7" s="63"/>
      <c r="K7" s="63"/>
      <c r="L7" s="63"/>
      <c r="M7" s="63"/>
      <c r="N7" s="63"/>
      <c r="O7" s="63"/>
      <c r="P7" s="63"/>
      <c r="Q7" s="63"/>
      <c r="R7" s="63"/>
      <c r="S7" s="63"/>
      <c r="T7" s="63"/>
      <c r="U7" s="63"/>
      <c r="V7" s="63"/>
      <c r="W7" s="63"/>
      <c r="X7" s="63"/>
      <c r="Y7" s="63"/>
      <c r="Z7" s="63"/>
    </row>
    <row r="8" spans="3:26" ht="15">
      <c r="C8" s="63"/>
      <c r="D8" s="63"/>
      <c r="E8" s="63"/>
      <c r="F8" s="63"/>
      <c r="G8" s="63"/>
      <c r="H8" s="63"/>
      <c r="I8" s="63"/>
      <c r="J8" s="63"/>
      <c r="K8" s="63"/>
      <c r="L8" s="63"/>
      <c r="M8" s="63"/>
      <c r="N8" s="63"/>
      <c r="O8" s="63"/>
      <c r="P8" s="63"/>
      <c r="Q8" s="63"/>
      <c r="R8" s="63"/>
      <c r="S8" s="63"/>
      <c r="T8" s="63"/>
      <c r="U8" s="63"/>
      <c r="V8" s="63"/>
      <c r="W8" s="63"/>
      <c r="X8" s="63"/>
      <c r="Y8" s="63"/>
      <c r="Z8" s="63"/>
    </row>
    <row r="9" spans="3:26" ht="15">
      <c r="C9" s="63"/>
      <c r="D9" s="63"/>
      <c r="E9" s="63"/>
      <c r="F9" s="63"/>
      <c r="G9" s="63"/>
      <c r="H9" s="63"/>
      <c r="I9" s="63"/>
      <c r="J9" s="63"/>
      <c r="K9" s="63"/>
      <c r="L9" s="63"/>
      <c r="M9" s="63"/>
      <c r="N9" s="63"/>
      <c r="O9" s="63"/>
      <c r="P9" s="63"/>
      <c r="Q9" s="63"/>
      <c r="R9" s="63"/>
      <c r="S9" s="63"/>
      <c r="T9" s="63"/>
      <c r="U9" s="63"/>
      <c r="V9" s="63"/>
      <c r="W9" s="63"/>
      <c r="X9" s="63"/>
      <c r="Y9" s="63"/>
      <c r="Z9" s="63"/>
    </row>
    <row r="10" spans="3:26" ht="15">
      <c r="C10" s="63" t="s">
        <v>47</v>
      </c>
      <c r="D10" s="63"/>
      <c r="E10" s="63"/>
      <c r="F10" s="63"/>
      <c r="G10" s="63"/>
      <c r="H10" s="63"/>
      <c r="I10" s="63"/>
      <c r="J10" s="63"/>
      <c r="K10" s="63"/>
      <c r="L10" s="63"/>
      <c r="M10" s="63"/>
      <c r="N10" s="63"/>
      <c r="O10" s="63"/>
      <c r="P10" s="63"/>
      <c r="Q10" s="63"/>
      <c r="R10" s="63"/>
      <c r="S10" s="63"/>
      <c r="T10" s="63"/>
      <c r="U10" s="63"/>
      <c r="V10" s="63"/>
      <c r="W10" s="63"/>
      <c r="X10" s="63"/>
      <c r="Y10" s="63"/>
      <c r="Z10" s="63"/>
    </row>
    <row r="11" spans="3:26" ht="15">
      <c r="C11" s="63"/>
      <c r="D11" s="63"/>
      <c r="E11" s="63"/>
      <c r="F11" s="63"/>
      <c r="G11" s="63"/>
      <c r="H11" s="63"/>
      <c r="I11" s="63"/>
      <c r="J11" s="63"/>
      <c r="K11" s="63"/>
      <c r="L11" s="63"/>
      <c r="M11" s="63"/>
      <c r="N11" s="63"/>
      <c r="O11" s="63"/>
      <c r="P11" s="63"/>
      <c r="Q11" s="63"/>
      <c r="R11" s="63"/>
      <c r="S11" s="63"/>
      <c r="T11" s="63"/>
      <c r="U11" s="63"/>
      <c r="V11" s="63"/>
      <c r="W11" s="63"/>
      <c r="X11" s="63"/>
      <c r="Y11" s="63"/>
      <c r="Z11" s="63"/>
    </row>
    <row r="12" spans="3:26" ht="15">
      <c r="C12" s="63"/>
      <c r="D12" s="63"/>
      <c r="E12" s="63"/>
      <c r="F12" s="63"/>
      <c r="G12" s="63"/>
      <c r="H12" s="63"/>
      <c r="I12" s="63"/>
      <c r="J12" s="63"/>
      <c r="K12" s="63"/>
      <c r="L12" s="63"/>
      <c r="M12" s="63"/>
      <c r="N12" s="63"/>
      <c r="O12" s="63"/>
      <c r="P12" s="63"/>
      <c r="Q12" s="63"/>
      <c r="R12" s="63"/>
      <c r="S12" s="63"/>
      <c r="T12" s="63"/>
      <c r="U12" s="63"/>
      <c r="V12" s="63"/>
      <c r="W12" s="63"/>
      <c r="X12" s="63"/>
      <c r="Y12" s="63"/>
      <c r="Z12" s="63"/>
    </row>
    <row r="13" spans="3:26" ht="15">
      <c r="C13" s="63"/>
      <c r="D13" s="63"/>
      <c r="E13" s="63"/>
      <c r="F13" s="63"/>
      <c r="G13" s="63"/>
      <c r="H13" s="63"/>
      <c r="I13" s="63"/>
      <c r="J13" s="63"/>
      <c r="K13" s="63"/>
      <c r="L13" s="63"/>
      <c r="M13" s="63"/>
      <c r="N13" s="63"/>
      <c r="O13" s="63"/>
      <c r="P13" s="63"/>
      <c r="Q13" s="63"/>
      <c r="R13" s="63"/>
      <c r="S13" s="63"/>
      <c r="T13" s="63"/>
      <c r="U13" s="63"/>
      <c r="V13" s="63"/>
      <c r="W13" s="63"/>
      <c r="X13" s="63"/>
      <c r="Y13" s="63"/>
      <c r="Z13" s="63"/>
    </row>
    <row r="14" spans="3:26" ht="15">
      <c r="C14" s="63"/>
      <c r="D14" s="63"/>
      <c r="E14" s="63"/>
      <c r="F14" s="63"/>
      <c r="G14" s="63"/>
      <c r="H14" s="63"/>
      <c r="I14" s="63"/>
      <c r="J14" s="63"/>
      <c r="K14" s="63"/>
      <c r="L14" s="63"/>
      <c r="M14" s="63"/>
      <c r="N14" s="63"/>
      <c r="O14" s="63"/>
      <c r="P14" s="63"/>
      <c r="Q14" s="63"/>
      <c r="R14" s="63"/>
      <c r="S14" s="63"/>
      <c r="T14" s="63"/>
      <c r="U14" s="63"/>
      <c r="V14" s="63"/>
      <c r="W14" s="63"/>
      <c r="X14" s="63"/>
      <c r="Y14" s="63"/>
      <c r="Z14" s="63"/>
    </row>
    <row r="15" spans="3:26" ht="15">
      <c r="C15" s="63"/>
      <c r="D15" s="63"/>
      <c r="E15" s="63"/>
      <c r="F15" s="63"/>
      <c r="G15" s="63"/>
      <c r="H15" s="63"/>
      <c r="I15" s="63"/>
      <c r="J15" s="63"/>
      <c r="K15" s="63"/>
      <c r="L15" s="63"/>
      <c r="M15" s="63"/>
      <c r="N15" s="63"/>
      <c r="O15" s="63"/>
      <c r="P15" s="63"/>
      <c r="Q15" s="63"/>
      <c r="R15" s="63"/>
      <c r="S15" s="63"/>
      <c r="T15" s="63"/>
      <c r="U15" s="63"/>
      <c r="V15" s="63"/>
      <c r="W15" s="63"/>
      <c r="X15" s="63"/>
      <c r="Y15" s="63"/>
      <c r="Z15" s="63"/>
    </row>
    <row r="16" spans="3:26" ht="15">
      <c r="C16" s="63"/>
      <c r="D16" s="63"/>
      <c r="E16" s="63"/>
      <c r="F16" s="63"/>
      <c r="G16" s="63"/>
      <c r="H16" s="63"/>
      <c r="I16" s="63"/>
      <c r="J16" s="63"/>
      <c r="K16" s="63"/>
      <c r="L16" s="63"/>
      <c r="M16" s="63"/>
      <c r="N16" s="63"/>
      <c r="O16" s="63"/>
      <c r="P16" s="63"/>
      <c r="Q16" s="63"/>
      <c r="R16" s="63"/>
      <c r="S16" s="63"/>
      <c r="T16" s="63"/>
      <c r="U16" s="63"/>
      <c r="V16" s="63"/>
      <c r="W16" s="63"/>
      <c r="X16" s="63"/>
      <c r="Y16" s="63"/>
      <c r="Z16" s="63"/>
    </row>
    <row r="17" spans="3:26" ht="15">
      <c r="C17" s="63"/>
      <c r="D17" s="63"/>
      <c r="E17" s="63"/>
      <c r="F17" s="63"/>
      <c r="G17" s="63"/>
      <c r="H17" s="63"/>
      <c r="I17" s="63"/>
      <c r="J17" s="63"/>
      <c r="K17" s="63"/>
      <c r="L17" s="63"/>
      <c r="M17" s="63"/>
      <c r="N17" s="63"/>
      <c r="O17" s="63"/>
      <c r="P17" s="63"/>
      <c r="Q17" s="63"/>
      <c r="R17" s="63"/>
      <c r="S17" s="63"/>
      <c r="T17" s="63"/>
      <c r="U17" s="63"/>
      <c r="V17" s="63"/>
      <c r="W17" s="63"/>
      <c r="X17" s="63"/>
      <c r="Y17" s="63"/>
      <c r="Z17" s="63"/>
    </row>
    <row r="18" spans="3:26" ht="15">
      <c r="C18" s="63"/>
      <c r="D18" s="63"/>
      <c r="E18" s="63"/>
      <c r="F18" s="63"/>
      <c r="G18" s="63"/>
      <c r="H18" s="63"/>
      <c r="I18" s="63"/>
      <c r="J18" s="63"/>
      <c r="K18" s="63"/>
      <c r="L18" s="63"/>
      <c r="M18" s="63"/>
      <c r="N18" s="63"/>
      <c r="O18" s="63"/>
      <c r="P18" s="63"/>
      <c r="Q18" s="63"/>
      <c r="R18" s="63"/>
      <c r="S18" s="63"/>
      <c r="T18" s="63"/>
      <c r="U18" s="63"/>
      <c r="V18" s="63"/>
      <c r="W18" s="63"/>
      <c r="X18" s="63"/>
      <c r="Y18" s="63"/>
      <c r="Z18" s="63"/>
    </row>
    <row r="19" spans="3:26" ht="15">
      <c r="C19" s="63"/>
      <c r="D19" s="63"/>
      <c r="E19" s="63"/>
      <c r="F19" s="63"/>
      <c r="G19" s="63"/>
      <c r="H19" s="63"/>
      <c r="I19" s="63"/>
      <c r="J19" s="63"/>
      <c r="K19" s="63"/>
      <c r="L19" s="63"/>
      <c r="M19" s="63"/>
      <c r="N19" s="63"/>
      <c r="O19" s="63"/>
      <c r="P19" s="63"/>
      <c r="Q19" s="63"/>
      <c r="R19" s="63"/>
      <c r="S19" s="63"/>
      <c r="T19" s="63"/>
      <c r="U19" s="63"/>
      <c r="V19" s="63"/>
      <c r="W19" s="63"/>
      <c r="X19" s="63"/>
      <c r="Y19" s="63"/>
      <c r="Z19" s="63"/>
    </row>
    <row r="20" spans="3:26" ht="15">
      <c r="C20" s="63"/>
      <c r="D20" s="63"/>
      <c r="E20" s="63"/>
      <c r="F20" s="63"/>
      <c r="G20" s="63"/>
      <c r="H20" s="63"/>
      <c r="I20" s="63"/>
      <c r="J20" s="63"/>
      <c r="K20" s="63"/>
      <c r="L20" s="63"/>
      <c r="M20" s="63"/>
      <c r="N20" s="63"/>
      <c r="O20" s="63"/>
      <c r="P20" s="63"/>
      <c r="Q20" s="63"/>
      <c r="R20" s="63"/>
      <c r="S20" s="63"/>
      <c r="T20" s="63"/>
      <c r="U20" s="63"/>
      <c r="V20" s="63"/>
      <c r="W20" s="63"/>
      <c r="X20" s="63"/>
      <c r="Y20" s="63"/>
      <c r="Z20" s="63"/>
    </row>
    <row r="21" spans="3:26" ht="15">
      <c r="C21" s="63"/>
      <c r="D21" s="63"/>
      <c r="E21" s="63"/>
      <c r="F21" s="63"/>
      <c r="G21" s="63"/>
      <c r="H21" s="63"/>
      <c r="I21" s="63"/>
      <c r="J21" s="63"/>
      <c r="K21" s="63"/>
      <c r="L21" s="63"/>
      <c r="M21" s="63"/>
      <c r="N21" s="63"/>
      <c r="O21" s="63"/>
      <c r="P21" s="63"/>
      <c r="Q21" s="63"/>
      <c r="R21" s="63"/>
      <c r="S21" s="63"/>
      <c r="T21" s="63"/>
      <c r="U21" s="63"/>
      <c r="V21" s="63"/>
      <c r="W21" s="63"/>
      <c r="X21" s="63"/>
      <c r="Y21" s="63"/>
      <c r="Z21" s="63"/>
    </row>
    <row r="22" spans="3:26" ht="15">
      <c r="C22" s="63"/>
      <c r="D22" s="63"/>
      <c r="E22" s="63"/>
      <c r="F22" s="63"/>
      <c r="G22" s="63"/>
      <c r="H22" s="63"/>
      <c r="I22" s="63"/>
      <c r="J22" s="63"/>
      <c r="K22" s="63"/>
      <c r="L22" s="63"/>
      <c r="M22" s="63"/>
      <c r="N22" s="63"/>
      <c r="O22" s="63"/>
      <c r="P22" s="63"/>
      <c r="Q22" s="63"/>
      <c r="R22" s="63"/>
      <c r="S22" s="63"/>
      <c r="T22" s="63"/>
      <c r="U22" s="63"/>
      <c r="V22" s="63"/>
      <c r="W22" s="63"/>
      <c r="X22" s="63"/>
      <c r="Y22" s="63"/>
      <c r="Z22" s="63"/>
    </row>
    <row r="25" ht="15">
      <c r="S25" s="69"/>
    </row>
    <row r="26" ht="15">
      <c r="F26" s="38"/>
    </row>
  </sheetData>
  <sheetProtection/>
  <mergeCells count="2">
    <mergeCell ref="B2:Z2"/>
    <mergeCell ref="B6:Z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M20"/>
  <sheetViews>
    <sheetView showGridLines="0" zoomScalePageLayoutView="0" workbookViewId="0" topLeftCell="A1">
      <selection activeCell="F11" sqref="F11"/>
    </sheetView>
  </sheetViews>
  <sheetFormatPr defaultColWidth="11.421875" defaultRowHeight="15"/>
  <cols>
    <col min="1" max="1" width="3.7109375" style="0" customWidth="1"/>
    <col min="3" max="3" width="20.57421875" style="0" customWidth="1"/>
    <col min="4" max="4" width="11.57421875" style="0" customWidth="1"/>
  </cols>
  <sheetData>
    <row r="2" spans="2:12" ht="43.5" customHeight="1">
      <c r="B2" s="184" t="s">
        <v>132</v>
      </c>
      <c r="C2" s="184"/>
      <c r="D2" s="184"/>
      <c r="E2" s="154"/>
      <c r="F2" s="154"/>
      <c r="G2" s="154"/>
      <c r="H2" s="154"/>
      <c r="I2" s="154"/>
      <c r="J2" s="154"/>
      <c r="K2" s="154"/>
      <c r="L2" s="154"/>
    </row>
    <row r="3" spans="2:12" ht="15">
      <c r="B3" s="155"/>
      <c r="C3" s="127" t="s">
        <v>84</v>
      </c>
      <c r="D3" s="155"/>
      <c r="E3" s="154"/>
      <c r="F3" s="154"/>
      <c r="G3" s="154"/>
      <c r="H3" s="154"/>
      <c r="I3" s="154"/>
      <c r="J3" s="154"/>
      <c r="K3" s="154"/>
      <c r="L3" s="154"/>
    </row>
    <row r="4" spans="2:12" ht="15">
      <c r="B4" s="126">
        <v>1999</v>
      </c>
      <c r="C4" s="156">
        <v>165720</v>
      </c>
      <c r="D4" s="155" t="s">
        <v>81</v>
      </c>
      <c r="E4" s="154"/>
      <c r="F4" s="154"/>
      <c r="G4" s="154"/>
      <c r="H4" s="154"/>
      <c r="I4" s="154"/>
      <c r="J4" s="154"/>
      <c r="K4" s="154"/>
      <c r="L4" s="154"/>
    </row>
    <row r="5" spans="2:12" ht="15">
      <c r="B5" s="126">
        <v>2000</v>
      </c>
      <c r="C5" s="156">
        <v>340047</v>
      </c>
      <c r="D5" s="155"/>
      <c r="E5" s="154"/>
      <c r="F5" s="154"/>
      <c r="G5" s="154"/>
      <c r="H5" s="154"/>
      <c r="I5" s="154"/>
      <c r="J5" s="154"/>
      <c r="K5" s="154"/>
      <c r="L5" s="154"/>
    </row>
    <row r="6" spans="2:12" ht="15">
      <c r="B6" s="126">
        <v>2001</v>
      </c>
      <c r="C6" s="156">
        <v>623998</v>
      </c>
      <c r="D6" s="155"/>
      <c r="E6" s="154"/>
      <c r="F6" s="154"/>
      <c r="G6" s="154"/>
      <c r="H6" s="154"/>
      <c r="I6" s="154"/>
      <c r="J6" s="154"/>
      <c r="K6" s="154"/>
      <c r="L6" s="154"/>
    </row>
    <row r="7" spans="2:12" ht="15">
      <c r="B7" s="126">
        <v>2002</v>
      </c>
      <c r="C7" s="156">
        <v>725753</v>
      </c>
      <c r="D7" s="155"/>
      <c r="E7" s="154"/>
      <c r="F7" s="154"/>
      <c r="G7" s="154"/>
      <c r="H7" s="154"/>
      <c r="I7" s="154"/>
      <c r="J7" s="154"/>
      <c r="K7" s="154"/>
      <c r="L7" s="154"/>
    </row>
    <row r="8" spans="2:12" ht="15">
      <c r="B8" s="126">
        <v>2003</v>
      </c>
      <c r="C8" s="156">
        <v>811433</v>
      </c>
      <c r="D8" s="155"/>
      <c r="E8" s="154"/>
      <c r="F8" s="154"/>
      <c r="G8" s="154"/>
      <c r="H8" s="154"/>
      <c r="I8" s="154"/>
      <c r="J8" s="154"/>
      <c r="K8" s="154"/>
      <c r="L8" s="154"/>
    </row>
    <row r="9" spans="2:12" ht="15">
      <c r="B9" s="126">
        <v>2004</v>
      </c>
      <c r="C9" s="156">
        <v>918304</v>
      </c>
      <c r="D9" s="155"/>
      <c r="E9" s="154"/>
      <c r="F9" s="154"/>
      <c r="G9" s="154"/>
      <c r="H9" s="154"/>
      <c r="I9" s="154"/>
      <c r="J9" s="154"/>
      <c r="K9" s="154"/>
      <c r="L9" s="154"/>
    </row>
    <row r="10" spans="2:12" ht="15">
      <c r="B10" s="126">
        <v>2005</v>
      </c>
      <c r="C10" s="156">
        <v>1033303</v>
      </c>
      <c r="D10" s="155"/>
      <c r="E10" s="154"/>
      <c r="F10" s="154"/>
      <c r="G10" s="154"/>
      <c r="H10" s="154"/>
      <c r="I10" s="154"/>
      <c r="J10" s="154"/>
      <c r="K10" s="154"/>
      <c r="L10" s="154"/>
    </row>
    <row r="11" spans="2:12" ht="15">
      <c r="B11" s="126">
        <v>2006</v>
      </c>
      <c r="C11" s="156">
        <v>1100053</v>
      </c>
      <c r="D11" s="155"/>
      <c r="E11" s="154"/>
      <c r="F11" s="154"/>
      <c r="G11" s="154"/>
      <c r="H11" s="154"/>
      <c r="I11" s="154"/>
      <c r="J11" s="154"/>
      <c r="K11" s="154"/>
      <c r="L11" s="154"/>
    </row>
    <row r="12" spans="2:12" ht="15">
      <c r="B12" s="126">
        <v>2007</v>
      </c>
      <c r="C12" s="156">
        <v>1178512</v>
      </c>
      <c r="D12" s="155" t="s">
        <v>82</v>
      </c>
      <c r="E12" s="154"/>
      <c r="F12" s="154"/>
      <c r="G12" s="154"/>
      <c r="H12" s="154"/>
      <c r="I12" s="154"/>
      <c r="J12" s="154"/>
      <c r="K12" s="154"/>
      <c r="L12" s="154"/>
    </row>
    <row r="13" spans="2:12" ht="15">
      <c r="B13" s="126">
        <v>2008</v>
      </c>
      <c r="C13" s="156">
        <v>1209223</v>
      </c>
      <c r="D13" s="155"/>
      <c r="E13" s="154"/>
      <c r="F13" s="154"/>
      <c r="G13" s="154"/>
      <c r="H13" s="154"/>
      <c r="I13" s="154"/>
      <c r="J13" s="154"/>
      <c r="K13" s="154"/>
      <c r="L13" s="154"/>
    </row>
    <row r="14" spans="2:12" ht="15">
      <c r="B14" s="126">
        <v>2009</v>
      </c>
      <c r="C14" s="156">
        <v>1252444</v>
      </c>
      <c r="D14" s="155" t="s">
        <v>83</v>
      </c>
      <c r="E14" s="154"/>
      <c r="F14" s="154"/>
      <c r="G14" s="154"/>
      <c r="H14" s="154"/>
      <c r="I14" s="154"/>
      <c r="J14" s="154"/>
      <c r="K14" s="154"/>
      <c r="L14" s="154"/>
    </row>
    <row r="15" spans="2:12" ht="15">
      <c r="B15" s="126">
        <v>2010</v>
      </c>
      <c r="C15" s="156">
        <v>1267666</v>
      </c>
      <c r="D15" s="155"/>
      <c r="E15" s="154"/>
      <c r="F15" s="154"/>
      <c r="G15" s="154"/>
      <c r="H15" s="154"/>
      <c r="I15" s="154"/>
      <c r="J15" s="154"/>
      <c r="K15" s="154"/>
      <c r="L15" s="154"/>
    </row>
    <row r="16" spans="2:12" ht="15">
      <c r="B16" s="126">
        <v>2011</v>
      </c>
      <c r="C16" s="156">
        <v>1273341</v>
      </c>
      <c r="D16" s="155"/>
      <c r="E16" s="154"/>
      <c r="F16" s="154"/>
      <c r="G16" s="154"/>
      <c r="H16" s="154"/>
      <c r="I16" s="154"/>
      <c r="J16" s="154"/>
      <c r="K16" s="154"/>
      <c r="L16" s="154"/>
    </row>
    <row r="17" spans="2:13" ht="15">
      <c r="B17" s="126">
        <v>2012</v>
      </c>
      <c r="C17" s="156">
        <v>1229632</v>
      </c>
      <c r="D17" s="155"/>
      <c r="E17" s="154"/>
      <c r="F17" s="154"/>
      <c r="G17" s="154"/>
      <c r="H17" s="154"/>
      <c r="I17" s="154"/>
      <c r="J17" s="154"/>
      <c r="K17" s="154"/>
      <c r="L17" s="154"/>
      <c r="M17" t="s">
        <v>47</v>
      </c>
    </row>
    <row r="18" spans="2:12" ht="15">
      <c r="B18" s="126">
        <v>2013</v>
      </c>
      <c r="C18" s="156">
        <v>1269679</v>
      </c>
      <c r="D18" s="155"/>
      <c r="E18" s="154" t="s">
        <v>131</v>
      </c>
      <c r="F18" s="154"/>
      <c r="G18" s="154"/>
      <c r="H18" s="154"/>
      <c r="I18" s="154"/>
      <c r="J18" s="154"/>
      <c r="K18" s="154"/>
      <c r="L18" s="154"/>
    </row>
    <row r="19" spans="2:12" ht="15">
      <c r="B19" s="126">
        <v>2014</v>
      </c>
      <c r="C19" s="156">
        <v>1160494</v>
      </c>
      <c r="D19" s="155"/>
      <c r="E19" s="154"/>
      <c r="F19" s="154"/>
      <c r="G19" s="154"/>
      <c r="H19" s="154"/>
      <c r="I19" s="154"/>
      <c r="J19" s="154"/>
      <c r="K19" s="154"/>
      <c r="L19" s="154"/>
    </row>
    <row r="20" spans="2:12" ht="54.75" customHeight="1">
      <c r="B20" s="180" t="s">
        <v>133</v>
      </c>
      <c r="C20" s="181"/>
      <c r="D20" s="181"/>
      <c r="E20" s="154"/>
      <c r="F20" s="154"/>
      <c r="G20" s="154"/>
      <c r="H20" s="154"/>
      <c r="I20" s="154"/>
      <c r="J20" s="154"/>
      <c r="K20" s="154"/>
      <c r="L20" s="154"/>
    </row>
  </sheetData>
  <sheetProtection/>
  <mergeCells count="2">
    <mergeCell ref="B2:D2"/>
    <mergeCell ref="B20:D2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K34"/>
  <sheetViews>
    <sheetView showGridLines="0" zoomScalePageLayoutView="0" workbookViewId="0" topLeftCell="A1">
      <selection activeCell="J16" sqref="J16"/>
    </sheetView>
  </sheetViews>
  <sheetFormatPr defaultColWidth="11.421875" defaultRowHeight="15"/>
  <cols>
    <col min="1" max="1" width="3.7109375" style="0" customWidth="1"/>
    <col min="3" max="7" width="12.7109375" style="0" customWidth="1"/>
  </cols>
  <sheetData>
    <row r="2" spans="2:7" ht="30" customHeight="1">
      <c r="B2" s="168" t="s">
        <v>134</v>
      </c>
      <c r="C2" s="186"/>
      <c r="D2" s="186"/>
      <c r="E2" s="186"/>
      <c r="F2" s="186"/>
      <c r="G2" s="186"/>
    </row>
    <row r="3" spans="2:7" ht="15">
      <c r="B3" s="163"/>
      <c r="C3" s="127">
        <v>2010</v>
      </c>
      <c r="D3" s="127">
        <v>2011</v>
      </c>
      <c r="E3" s="127">
        <v>2012</v>
      </c>
      <c r="F3" s="127">
        <v>2013</v>
      </c>
      <c r="G3" s="127">
        <v>2014</v>
      </c>
    </row>
    <row r="4" spans="2:7" ht="15">
      <c r="B4" s="162"/>
      <c r="C4" s="127" t="s">
        <v>58</v>
      </c>
      <c r="D4" s="127" t="s">
        <v>58</v>
      </c>
      <c r="E4" s="127" t="s">
        <v>58</v>
      </c>
      <c r="F4" s="127" t="s">
        <v>58</v>
      </c>
      <c r="G4" s="127" t="s">
        <v>58</v>
      </c>
    </row>
    <row r="5" spans="2:7" ht="15">
      <c r="B5" s="161" t="s">
        <v>59</v>
      </c>
      <c r="C5" s="126">
        <v>2259</v>
      </c>
      <c r="D5" s="160">
        <f>2288+132</f>
        <v>2420</v>
      </c>
      <c r="E5" s="160">
        <f>2516+152</f>
        <v>2668</v>
      </c>
      <c r="F5" s="160">
        <f>2627+221</f>
        <v>2848</v>
      </c>
      <c r="G5" s="160">
        <v>3416</v>
      </c>
    </row>
    <row r="6" spans="2:7" ht="15">
      <c r="B6" s="161" t="s">
        <v>60</v>
      </c>
      <c r="C6" s="126">
        <v>2292</v>
      </c>
      <c r="D6" s="160">
        <f>2150+130</f>
        <v>2280</v>
      </c>
      <c r="E6" s="160">
        <f>2351+162</f>
        <v>2513</v>
      </c>
      <c r="F6" s="160">
        <f>2360+219</f>
        <v>2579</v>
      </c>
      <c r="G6" s="160">
        <v>2942</v>
      </c>
    </row>
    <row r="7" spans="2:7" ht="15">
      <c r="B7" s="161" t="s">
        <v>61</v>
      </c>
      <c r="C7" s="126">
        <v>2644</v>
      </c>
      <c r="D7" s="160">
        <f>2495+179</f>
        <v>2674</v>
      </c>
      <c r="E7" s="160">
        <f>2548+180</f>
        <v>2728</v>
      </c>
      <c r="F7" s="160">
        <f>2621+209</f>
        <v>2830</v>
      </c>
      <c r="G7" s="160">
        <v>3007</v>
      </c>
    </row>
    <row r="8" spans="2:7" ht="15">
      <c r="B8" s="161" t="s">
        <v>62</v>
      </c>
      <c r="C8" s="126">
        <v>2402</v>
      </c>
      <c r="D8" s="160">
        <f>2180+141</f>
        <v>2321</v>
      </c>
      <c r="E8" s="160">
        <f>2272+165</f>
        <v>2437</v>
      </c>
      <c r="F8" s="160">
        <f>2694+233</f>
        <v>2927</v>
      </c>
      <c r="G8" s="160">
        <v>2910</v>
      </c>
    </row>
    <row r="9" spans="2:7" ht="15">
      <c r="B9" s="161" t="s">
        <v>63</v>
      </c>
      <c r="C9" s="126">
        <v>2305</v>
      </c>
      <c r="D9" s="160">
        <f>2485+151</f>
        <v>2636</v>
      </c>
      <c r="E9" s="160">
        <f>2627+142</f>
        <v>2769</v>
      </c>
      <c r="F9" s="160">
        <f>2902+227</f>
        <v>3129</v>
      </c>
      <c r="G9" s="160">
        <v>3063</v>
      </c>
    </row>
    <row r="10" spans="2:7" ht="15">
      <c r="B10" s="161" t="s">
        <v>64</v>
      </c>
      <c r="C10" s="126">
        <v>2516</v>
      </c>
      <c r="D10" s="160">
        <f>2199+141</f>
        <v>2340</v>
      </c>
      <c r="E10" s="160">
        <f>2451+169</f>
        <v>2620</v>
      </c>
      <c r="F10" s="160">
        <f>2752+233</f>
        <v>2985</v>
      </c>
      <c r="G10" s="160">
        <v>2951</v>
      </c>
    </row>
    <row r="11" spans="2:7" ht="15">
      <c r="B11" s="161" t="s">
        <v>65</v>
      </c>
      <c r="C11" s="126">
        <v>2355</v>
      </c>
      <c r="D11" s="160">
        <f>2245+119</f>
        <v>2364</v>
      </c>
      <c r="E11" s="160">
        <f>2244+140</f>
        <v>2384</v>
      </c>
      <c r="F11" s="160">
        <f>2882+252</f>
        <v>3134</v>
      </c>
      <c r="G11" s="160">
        <v>2958</v>
      </c>
    </row>
    <row r="12" spans="2:7" ht="15">
      <c r="B12" s="161" t="s">
        <v>66</v>
      </c>
      <c r="C12" s="126">
        <v>1936</v>
      </c>
      <c r="D12" s="160">
        <f>2069+108</f>
        <v>2177</v>
      </c>
      <c r="E12" s="160">
        <f>2039+141</f>
        <v>2180</v>
      </c>
      <c r="F12" s="160">
        <f>2230+179</f>
        <v>2409</v>
      </c>
      <c r="G12" s="160">
        <v>2266</v>
      </c>
    </row>
    <row r="13" spans="2:7" ht="15">
      <c r="B13" s="161" t="s">
        <v>67</v>
      </c>
      <c r="C13" s="126">
        <v>2336</v>
      </c>
      <c r="D13" s="160">
        <f>2300+129</f>
        <v>2429</v>
      </c>
      <c r="E13" s="160">
        <f>2123+146</f>
        <v>2269</v>
      </c>
      <c r="F13" s="160">
        <f>2496+217</f>
        <v>2713</v>
      </c>
      <c r="G13" s="160">
        <v>2897</v>
      </c>
    </row>
    <row r="14" spans="2:7" ht="15">
      <c r="B14" s="161" t="s">
        <v>68</v>
      </c>
      <c r="C14" s="126">
        <v>2230</v>
      </c>
      <c r="D14" s="160">
        <f>2019+122</f>
        <v>2141</v>
      </c>
      <c r="E14" s="160">
        <f>2407+191</f>
        <v>2598</v>
      </c>
      <c r="F14" s="160">
        <f>2820+261</f>
        <v>3081</v>
      </c>
      <c r="G14" s="160">
        <v>2756</v>
      </c>
    </row>
    <row r="15" spans="2:7" ht="15">
      <c r="B15" s="161" t="s">
        <v>69</v>
      </c>
      <c r="C15" s="126">
        <v>2399</v>
      </c>
      <c r="D15" s="160">
        <f>2177+152</f>
        <v>2329</v>
      </c>
      <c r="E15" s="160">
        <f>2208+214</f>
        <v>2422</v>
      </c>
      <c r="F15" s="160">
        <f>2633+210</f>
        <v>2843</v>
      </c>
      <c r="G15" s="160">
        <v>2406</v>
      </c>
    </row>
    <row r="16" spans="2:7" ht="15">
      <c r="B16" s="161" t="s">
        <v>70</v>
      </c>
      <c r="C16" s="126">
        <v>2404</v>
      </c>
      <c r="D16" s="160">
        <f>2220+147</f>
        <v>2367</v>
      </c>
      <c r="E16" s="160">
        <f>2384+200</f>
        <v>2584</v>
      </c>
      <c r="F16" s="160">
        <f>2754+225</f>
        <v>2979</v>
      </c>
      <c r="G16" s="160">
        <v>2158</v>
      </c>
    </row>
    <row r="17" spans="2:11" ht="15">
      <c r="B17" s="128"/>
      <c r="C17" s="126">
        <f>SUM(C5:C16)</f>
        <v>28078</v>
      </c>
      <c r="D17" s="160">
        <f>SUM(D5:D16)</f>
        <v>28478</v>
      </c>
      <c r="E17" s="160">
        <f>SUM(E5:E16)</f>
        <v>30172</v>
      </c>
      <c r="F17" s="160">
        <f>SUM(F5:F16)</f>
        <v>34457</v>
      </c>
      <c r="G17" s="160">
        <f>SUM(G5:G16)</f>
        <v>33730</v>
      </c>
      <c r="H17" s="44"/>
      <c r="I17" s="44"/>
      <c r="J17" s="44"/>
      <c r="K17" s="44"/>
    </row>
    <row r="18" spans="2:11" ht="0.75" customHeight="1">
      <c r="B18" s="54" t="s">
        <v>87</v>
      </c>
      <c r="D18" s="68">
        <v>28560</v>
      </c>
      <c r="E18" s="68">
        <v>30089</v>
      </c>
      <c r="F18" s="68">
        <v>35085</v>
      </c>
      <c r="G18" t="s">
        <v>76</v>
      </c>
      <c r="H18" s="44"/>
      <c r="I18" s="44"/>
      <c r="J18" s="44"/>
      <c r="K18" s="44"/>
    </row>
    <row r="19" spans="2:11" ht="38.25" customHeight="1">
      <c r="B19" s="187" t="s">
        <v>135</v>
      </c>
      <c r="C19" s="188"/>
      <c r="D19" s="188"/>
      <c r="E19" s="188"/>
      <c r="F19" s="188"/>
      <c r="G19" s="188"/>
      <c r="H19" s="44"/>
      <c r="I19" s="44"/>
      <c r="J19" s="44"/>
      <c r="K19" s="44"/>
    </row>
    <row r="20" spans="8:11" ht="15">
      <c r="H20" s="44"/>
      <c r="I20" s="44"/>
      <c r="J20" s="44"/>
      <c r="K20" s="44"/>
    </row>
    <row r="33" spans="3:5" ht="15">
      <c r="C33" s="185"/>
      <c r="D33" s="185"/>
      <c r="E33" s="185"/>
    </row>
    <row r="34" ht="15">
      <c r="C34" s="73"/>
    </row>
  </sheetData>
  <sheetProtection/>
  <mergeCells count="3">
    <mergeCell ref="C33:E33"/>
    <mergeCell ref="B2:G2"/>
    <mergeCell ref="B19:G1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I33"/>
  <sheetViews>
    <sheetView showGridLines="0" zoomScalePageLayoutView="0" workbookViewId="0" topLeftCell="A1">
      <selection activeCell="J13" sqref="J13"/>
    </sheetView>
  </sheetViews>
  <sheetFormatPr defaultColWidth="11.421875" defaultRowHeight="15"/>
  <cols>
    <col min="1" max="1" width="3.7109375" style="0" customWidth="1"/>
  </cols>
  <sheetData>
    <row r="2" spans="2:7" ht="27.75" customHeight="1">
      <c r="B2" s="186" t="s">
        <v>136</v>
      </c>
      <c r="C2" s="189"/>
      <c r="D2" s="189"/>
      <c r="E2" s="189"/>
      <c r="F2" s="189"/>
      <c r="G2" s="189"/>
    </row>
    <row r="3" spans="2:7" ht="15">
      <c r="B3" s="126"/>
      <c r="C3" s="127">
        <v>2010</v>
      </c>
      <c r="D3" s="127">
        <v>2011</v>
      </c>
      <c r="E3" s="127">
        <v>2012</v>
      </c>
      <c r="F3" s="127">
        <v>2013</v>
      </c>
      <c r="G3" s="127">
        <v>2014</v>
      </c>
    </row>
    <row r="4" spans="2:7" ht="15">
      <c r="B4" s="161" t="s">
        <v>59</v>
      </c>
      <c r="C4" s="126">
        <v>15596</v>
      </c>
      <c r="D4" s="126">
        <v>15937</v>
      </c>
      <c r="E4" s="126">
        <v>15845</v>
      </c>
      <c r="F4" s="126">
        <v>15979</v>
      </c>
      <c r="G4" s="126">
        <v>17075</v>
      </c>
    </row>
    <row r="5" spans="2:7" ht="15">
      <c r="B5" s="161" t="s">
        <v>60</v>
      </c>
      <c r="C5" s="126">
        <v>15712</v>
      </c>
      <c r="D5" s="126">
        <v>15069</v>
      </c>
      <c r="E5" s="126">
        <v>15367</v>
      </c>
      <c r="F5" s="126">
        <v>15058</v>
      </c>
      <c r="G5" s="126">
        <v>15458</v>
      </c>
    </row>
    <row r="6" spans="2:7" ht="15">
      <c r="B6" s="161" t="s">
        <v>61</v>
      </c>
      <c r="C6" s="126">
        <v>17430</v>
      </c>
      <c r="D6" s="126">
        <v>16523</v>
      </c>
      <c r="E6" s="126">
        <v>16359</v>
      </c>
      <c r="F6" s="126">
        <v>15231</v>
      </c>
      <c r="G6" s="126">
        <v>15102</v>
      </c>
    </row>
    <row r="7" spans="2:7" ht="15">
      <c r="B7" s="161" t="s">
        <v>62</v>
      </c>
      <c r="C7" s="126">
        <v>15701</v>
      </c>
      <c r="D7" s="126">
        <v>14743</v>
      </c>
      <c r="E7" s="126">
        <v>14327</v>
      </c>
      <c r="F7" s="126">
        <v>15632</v>
      </c>
      <c r="G7" s="126">
        <v>15319</v>
      </c>
    </row>
    <row r="8" spans="2:7" ht="15">
      <c r="B8" s="161" t="s">
        <v>63</v>
      </c>
      <c r="C8" s="126">
        <v>14841</v>
      </c>
      <c r="D8" s="126">
        <v>15907</v>
      </c>
      <c r="E8" s="126">
        <v>14366</v>
      </c>
      <c r="F8" s="126">
        <v>14897</v>
      </c>
      <c r="G8" s="126">
        <v>14309</v>
      </c>
    </row>
    <row r="9" spans="2:7" ht="15">
      <c r="B9" s="161" t="s">
        <v>64</v>
      </c>
      <c r="C9" s="126">
        <v>16685</v>
      </c>
      <c r="D9" s="126">
        <v>14836</v>
      </c>
      <c r="E9" s="126">
        <v>16036</v>
      </c>
      <c r="F9" s="126">
        <v>16202</v>
      </c>
      <c r="G9" s="126">
        <v>14679</v>
      </c>
    </row>
    <row r="10" spans="2:7" ht="15">
      <c r="B10" s="161" t="s">
        <v>65</v>
      </c>
      <c r="C10" s="126">
        <v>15487</v>
      </c>
      <c r="D10" s="126">
        <v>14323</v>
      </c>
      <c r="E10" s="126">
        <v>14597</v>
      </c>
      <c r="F10" s="126">
        <v>16149</v>
      </c>
      <c r="G10" s="126">
        <v>14906</v>
      </c>
    </row>
    <row r="11" spans="2:7" ht="15">
      <c r="B11" s="161" t="s">
        <v>66</v>
      </c>
      <c r="C11" s="126">
        <v>13889</v>
      </c>
      <c r="D11" s="126">
        <v>14319</v>
      </c>
      <c r="E11" s="126">
        <v>13715</v>
      </c>
      <c r="F11" s="126">
        <v>14156</v>
      </c>
      <c r="G11" s="126">
        <v>12397</v>
      </c>
    </row>
    <row r="12" spans="2:7" ht="15">
      <c r="B12" s="161" t="s">
        <v>67</v>
      </c>
      <c r="C12" s="126">
        <v>15458</v>
      </c>
      <c r="D12" s="126">
        <v>15992</v>
      </c>
      <c r="E12" s="126">
        <v>13912</v>
      </c>
      <c r="F12" s="126">
        <v>14898</v>
      </c>
      <c r="G12" s="126">
        <v>14814</v>
      </c>
    </row>
    <row r="13" spans="2:7" ht="15">
      <c r="B13" s="161" t="s">
        <v>68</v>
      </c>
      <c r="C13" s="126">
        <v>14190</v>
      </c>
      <c r="D13" s="126">
        <v>14008</v>
      </c>
      <c r="E13" s="126">
        <v>15007</v>
      </c>
      <c r="F13" s="126">
        <v>15790</v>
      </c>
      <c r="G13" s="126">
        <v>14988</v>
      </c>
    </row>
    <row r="14" spans="2:7" ht="15">
      <c r="B14" s="161" t="s">
        <v>69</v>
      </c>
      <c r="C14" s="126">
        <v>13716</v>
      </c>
      <c r="D14" s="126">
        <v>13456</v>
      </c>
      <c r="E14" s="126">
        <v>13576</v>
      </c>
      <c r="F14" s="126">
        <v>13636</v>
      </c>
      <c r="G14" s="126">
        <v>12534</v>
      </c>
    </row>
    <row r="15" spans="2:7" ht="15">
      <c r="B15" s="161" t="s">
        <v>70</v>
      </c>
      <c r="C15" s="126">
        <v>15137</v>
      </c>
      <c r="D15" s="126">
        <v>14960</v>
      </c>
      <c r="E15" s="126">
        <v>13486</v>
      </c>
      <c r="F15" s="126">
        <v>14303</v>
      </c>
      <c r="G15" s="126">
        <v>14314</v>
      </c>
    </row>
    <row r="16" spans="2:7" ht="15">
      <c r="B16" s="126"/>
      <c r="C16" s="126">
        <f>SUM(C4:C15)</f>
        <v>183842</v>
      </c>
      <c r="D16" s="126">
        <f>SUM(D4:D15)</f>
        <v>180073</v>
      </c>
      <c r="E16" s="126">
        <f>SUM(E4:E15)</f>
        <v>176593</v>
      </c>
      <c r="F16" s="126">
        <f>SUM(F4:F15)</f>
        <v>181931</v>
      </c>
      <c r="G16" s="126">
        <f>SUM(G4:G15)</f>
        <v>175895</v>
      </c>
    </row>
    <row r="17" ht="0.75" customHeight="1">
      <c r="B17" s="54" t="s">
        <v>87</v>
      </c>
    </row>
    <row r="18" spans="2:7" ht="26.25" customHeight="1">
      <c r="B18" s="187" t="s">
        <v>137</v>
      </c>
      <c r="C18" s="188"/>
      <c r="D18" s="188"/>
      <c r="E18" s="188"/>
      <c r="F18" s="188"/>
      <c r="G18" s="188"/>
    </row>
    <row r="20" ht="15">
      <c r="I20" s="149"/>
    </row>
    <row r="33" spans="3:5" ht="15">
      <c r="C33" s="185"/>
      <c r="D33" s="185"/>
      <c r="E33" s="185"/>
    </row>
  </sheetData>
  <sheetProtection/>
  <mergeCells count="3">
    <mergeCell ref="C33:E33"/>
    <mergeCell ref="B2:G2"/>
    <mergeCell ref="B18:G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S64"/>
  <sheetViews>
    <sheetView showGridLines="0" zoomScalePageLayoutView="0" workbookViewId="0" topLeftCell="A1">
      <selection activeCell="N64" sqref="N64"/>
    </sheetView>
  </sheetViews>
  <sheetFormatPr defaultColWidth="9.140625" defaultRowHeight="15"/>
  <cols>
    <col min="1" max="1" width="3.7109375" style="0" customWidth="1"/>
    <col min="2" max="2" width="9.57421875" style="0" customWidth="1"/>
    <col min="3" max="3" width="3.7109375" style="0" customWidth="1"/>
    <col min="4" max="4" width="3.421875" style="0" customWidth="1"/>
    <col min="5" max="5" width="9.140625" style="0" customWidth="1"/>
    <col min="6" max="6" width="11.421875" style="0" customWidth="1"/>
    <col min="7" max="7" width="13.140625" style="0" customWidth="1"/>
    <col min="8" max="251" width="9.140625" style="0" customWidth="1"/>
    <col min="252" max="252" width="17.140625" style="0" customWidth="1"/>
  </cols>
  <sheetData>
    <row r="2" spans="2:7" ht="28.5" customHeight="1">
      <c r="B2" s="184" t="s">
        <v>138</v>
      </c>
      <c r="C2" s="190"/>
      <c r="D2" s="190"/>
      <c r="E2" s="190"/>
      <c r="F2" s="190"/>
      <c r="G2" s="190"/>
    </row>
    <row r="3" spans="2:10" ht="15">
      <c r="B3" s="126" t="s">
        <v>54</v>
      </c>
      <c r="C3" s="126"/>
      <c r="D3" s="126"/>
      <c r="E3" s="126" t="s">
        <v>55</v>
      </c>
      <c r="F3" s="126" t="s">
        <v>56</v>
      </c>
      <c r="G3" s="126" t="s">
        <v>57</v>
      </c>
      <c r="I3" s="76"/>
      <c r="J3" s="76"/>
    </row>
    <row r="4" spans="2:10" ht="15">
      <c r="B4" s="159">
        <v>40179</v>
      </c>
      <c r="C4" s="126"/>
      <c r="D4" s="126"/>
      <c r="E4" s="126">
        <v>17855</v>
      </c>
      <c r="F4" s="126">
        <v>18164.135230762284</v>
      </c>
      <c r="G4" s="126">
        <v>18030.58189453102</v>
      </c>
      <c r="I4" s="76"/>
      <c r="J4" s="76"/>
    </row>
    <row r="5" spans="2:10" ht="15">
      <c r="B5" s="159">
        <v>40210</v>
      </c>
      <c r="C5" s="126"/>
      <c r="D5" s="126"/>
      <c r="E5" s="126">
        <v>18004</v>
      </c>
      <c r="F5" s="126">
        <v>18162.117094406654</v>
      </c>
      <c r="G5" s="126">
        <v>17914.617400655967</v>
      </c>
      <c r="I5" s="76"/>
      <c r="J5" s="76"/>
    </row>
    <row r="6" spans="2:10" ht="15">
      <c r="B6" s="159">
        <v>40238</v>
      </c>
      <c r="C6" s="126"/>
      <c r="D6" s="126"/>
      <c r="E6" s="126">
        <v>20074</v>
      </c>
      <c r="F6" s="126">
        <v>18077.36267668449</v>
      </c>
      <c r="G6" s="126">
        <v>17818.089100740064</v>
      </c>
      <c r="I6" s="76"/>
      <c r="J6" s="76"/>
    </row>
    <row r="7" spans="2:10" ht="15">
      <c r="B7" s="159">
        <v>40269</v>
      </c>
      <c r="C7" s="126"/>
      <c r="D7" s="126"/>
      <c r="E7" s="126">
        <v>18103</v>
      </c>
      <c r="F7" s="126">
        <v>17716.592048688377</v>
      </c>
      <c r="G7" s="126">
        <v>17721.54846080022</v>
      </c>
      <c r="I7" s="76"/>
      <c r="J7" s="76"/>
    </row>
    <row r="8" spans="2:10" ht="15">
      <c r="B8" s="159">
        <v>40299</v>
      </c>
      <c r="C8" s="126"/>
      <c r="D8" s="126"/>
      <c r="E8" s="126">
        <v>17146</v>
      </c>
      <c r="F8" s="126">
        <v>17476.30623891737</v>
      </c>
      <c r="G8" s="126">
        <v>17627.871003435044</v>
      </c>
      <c r="I8" s="76"/>
      <c r="J8" s="76"/>
    </row>
    <row r="9" spans="2:10" ht="15">
      <c r="B9" s="159">
        <v>40330</v>
      </c>
      <c r="C9" s="126"/>
      <c r="D9" s="126"/>
      <c r="E9" s="126">
        <v>19201</v>
      </c>
      <c r="F9" s="126">
        <v>17358.938235839098</v>
      </c>
      <c r="G9" s="126">
        <v>17544.196826148498</v>
      </c>
      <c r="I9" s="76"/>
      <c r="J9" s="76"/>
    </row>
    <row r="10" spans="2:10" ht="15">
      <c r="B10" s="159">
        <v>40360</v>
      </c>
      <c r="C10" s="126"/>
      <c r="D10" s="126"/>
      <c r="E10" s="126">
        <v>17842</v>
      </c>
      <c r="F10" s="126">
        <v>18550.86747523965</v>
      </c>
      <c r="G10" s="126">
        <v>17475.103027918485</v>
      </c>
      <c r="I10" s="76"/>
      <c r="J10" s="76"/>
    </row>
    <row r="11" spans="2:10" ht="15">
      <c r="B11" s="159">
        <v>40391</v>
      </c>
      <c r="C11" s="126"/>
      <c r="D11" s="126"/>
      <c r="E11" s="126">
        <v>15825</v>
      </c>
      <c r="F11" s="126">
        <v>17101.576949858852</v>
      </c>
      <c r="G11" s="126">
        <v>17428.39136804444</v>
      </c>
      <c r="I11" s="76"/>
      <c r="J11" s="76"/>
    </row>
    <row r="12" spans="2:10" ht="15">
      <c r="B12" s="159">
        <v>40422</v>
      </c>
      <c r="C12" s="126"/>
      <c r="D12" s="126"/>
      <c r="E12" s="126">
        <v>17794</v>
      </c>
      <c r="F12" s="126">
        <v>17284.88193416122</v>
      </c>
      <c r="G12" s="126">
        <v>17398.57674601005</v>
      </c>
      <c r="I12" s="76"/>
      <c r="J12" s="76"/>
    </row>
    <row r="13" spans="2:10" ht="15">
      <c r="B13" s="159">
        <v>40452</v>
      </c>
      <c r="C13" s="126"/>
      <c r="D13" s="126"/>
      <c r="E13" s="126">
        <v>16420</v>
      </c>
      <c r="F13" s="126">
        <v>17598.24353778968</v>
      </c>
      <c r="G13" s="126">
        <v>17380.015402936235</v>
      </c>
      <c r="I13" s="76"/>
      <c r="J13" s="76"/>
    </row>
    <row r="14" spans="2:10" ht="15">
      <c r="B14" s="159">
        <v>40483</v>
      </c>
      <c r="C14" s="126"/>
      <c r="D14" s="126"/>
      <c r="E14" s="126">
        <v>16115</v>
      </c>
      <c r="F14" s="126">
        <v>17640.057418806147</v>
      </c>
      <c r="G14" s="126">
        <v>17371.054647698395</v>
      </c>
      <c r="I14" s="76"/>
      <c r="J14" s="76"/>
    </row>
    <row r="15" spans="2:10" ht="15">
      <c r="B15" s="159">
        <v>40513</v>
      </c>
      <c r="C15" s="126"/>
      <c r="D15" s="126"/>
      <c r="E15" s="126">
        <v>17541</v>
      </c>
      <c r="F15" s="126">
        <v>17222.600827479848</v>
      </c>
      <c r="G15" s="126">
        <v>17371.24973249116</v>
      </c>
      <c r="I15" s="76"/>
      <c r="J15" s="76"/>
    </row>
    <row r="16" spans="2:19" ht="15">
      <c r="B16" s="159">
        <v>40544</v>
      </c>
      <c r="C16" s="126"/>
      <c r="D16" s="126"/>
      <c r="E16" s="126">
        <v>18357</v>
      </c>
      <c r="F16" s="126">
        <v>17654.018059933118</v>
      </c>
      <c r="G16" s="126">
        <v>17374.332829715717</v>
      </c>
      <c r="I16" s="76"/>
      <c r="J16" s="76"/>
      <c r="S16" s="69"/>
    </row>
    <row r="17" spans="2:10" ht="15">
      <c r="B17" s="159">
        <v>40575</v>
      </c>
      <c r="C17" s="126"/>
      <c r="D17" s="126"/>
      <c r="E17" s="126">
        <v>17349</v>
      </c>
      <c r="F17" s="126">
        <v>17370.735630772942</v>
      </c>
      <c r="G17" s="126">
        <v>17377.597242486707</v>
      </c>
      <c r="I17" s="76"/>
      <c r="J17" s="76"/>
    </row>
    <row r="18" spans="2:10" ht="15">
      <c r="B18" s="159">
        <v>40603</v>
      </c>
      <c r="C18" s="126"/>
      <c r="D18" s="126"/>
      <c r="E18" s="126">
        <v>19197</v>
      </c>
      <c r="F18" s="126">
        <v>17216.50350197697</v>
      </c>
      <c r="G18" s="126">
        <v>17381.608859959077</v>
      </c>
      <c r="I18" s="76"/>
      <c r="J18" s="76"/>
    </row>
    <row r="19" spans="2:10" ht="15">
      <c r="B19" s="159">
        <v>40634</v>
      </c>
      <c r="C19" s="126"/>
      <c r="D19" s="126"/>
      <c r="E19" s="126">
        <v>17064</v>
      </c>
      <c r="F19" s="126">
        <v>17468.780483264924</v>
      </c>
      <c r="G19" s="126">
        <v>17385.64649080123</v>
      </c>
      <c r="I19" s="76"/>
      <c r="J19" s="76"/>
    </row>
    <row r="20" spans="2:10" ht="15">
      <c r="B20" s="159">
        <v>40664</v>
      </c>
      <c r="C20" s="126"/>
      <c r="D20" s="126"/>
      <c r="E20" s="126">
        <v>18543</v>
      </c>
      <c r="F20" s="126">
        <v>16175.148334280537</v>
      </c>
      <c r="G20" s="126">
        <v>17391.0621645777</v>
      </c>
      <c r="I20" s="76"/>
      <c r="J20" s="76"/>
    </row>
    <row r="21" spans="2:10" ht="15">
      <c r="B21" s="159">
        <v>40695</v>
      </c>
      <c r="C21" s="126"/>
      <c r="D21" s="126"/>
      <c r="E21" s="126">
        <v>17176</v>
      </c>
      <c r="F21" s="126">
        <v>16985.88238670329</v>
      </c>
      <c r="G21" s="126">
        <v>17397.005966715835</v>
      </c>
      <c r="I21" s="76"/>
      <c r="J21" s="76"/>
    </row>
    <row r="22" spans="2:10" ht="15">
      <c r="B22" s="159">
        <v>40725</v>
      </c>
      <c r="C22" s="126"/>
      <c r="D22" s="126"/>
      <c r="E22" s="126">
        <v>16687</v>
      </c>
      <c r="F22" s="126">
        <v>18123.218321275406</v>
      </c>
      <c r="G22" s="126">
        <v>17400.79832957535</v>
      </c>
      <c r="I22" s="76"/>
      <c r="J22" s="76"/>
    </row>
    <row r="23" spans="2:10" ht="15">
      <c r="B23" s="159">
        <v>40756</v>
      </c>
      <c r="C23" s="126"/>
      <c r="D23" s="126"/>
      <c r="E23" s="126">
        <v>16496</v>
      </c>
      <c r="F23" s="126">
        <v>17690.43472090333</v>
      </c>
      <c r="G23" s="126">
        <v>17403.32948354257</v>
      </c>
      <c r="I23" s="76"/>
      <c r="J23" s="76"/>
    </row>
    <row r="24" spans="2:10" ht="15">
      <c r="B24" s="159">
        <v>40787</v>
      </c>
      <c r="C24" s="126"/>
      <c r="D24" s="126"/>
      <c r="E24" s="126">
        <v>18421</v>
      </c>
      <c r="F24" s="126">
        <v>17854.919676559002</v>
      </c>
      <c r="G24" s="126">
        <v>17404.128117736753</v>
      </c>
      <c r="I24" s="76"/>
      <c r="J24" s="76"/>
    </row>
    <row r="25" spans="2:10" ht="15">
      <c r="B25" s="159">
        <v>40817</v>
      </c>
      <c r="C25" s="126"/>
      <c r="D25" s="126"/>
      <c r="E25" s="126">
        <v>16149</v>
      </c>
      <c r="F25" s="126">
        <v>17260.301480179052</v>
      </c>
      <c r="G25" s="126">
        <v>17399.228908299367</v>
      </c>
      <c r="I25" s="76"/>
      <c r="J25" s="76"/>
    </row>
    <row r="26" spans="2:10" ht="15">
      <c r="B26" s="159">
        <v>40848</v>
      </c>
      <c r="C26" s="126"/>
      <c r="D26" s="126"/>
      <c r="E26" s="126">
        <v>15785</v>
      </c>
      <c r="F26" s="126">
        <v>17220.922084816782</v>
      </c>
      <c r="G26" s="126">
        <v>17386.259250638454</v>
      </c>
      <c r="I26" s="76"/>
      <c r="J26" s="76"/>
    </row>
    <row r="27" spans="2:9" ht="15">
      <c r="B27" s="159">
        <v>40878</v>
      </c>
      <c r="C27" s="126"/>
      <c r="D27" s="126"/>
      <c r="E27" s="126">
        <v>17327</v>
      </c>
      <c r="F27" s="126">
        <v>17677.23345946588</v>
      </c>
      <c r="G27" s="126">
        <v>17367.57021798692</v>
      </c>
      <c r="I27" s="38"/>
    </row>
    <row r="28" spans="2:7" ht="15">
      <c r="B28" s="159">
        <v>40909</v>
      </c>
      <c r="C28" s="126"/>
      <c r="D28" s="126"/>
      <c r="E28" s="126">
        <v>18513</v>
      </c>
      <c r="F28" s="126">
        <v>16963.17936624242</v>
      </c>
      <c r="G28" s="126">
        <v>17344.181551378282</v>
      </c>
    </row>
    <row r="29" spans="2:7" ht="15">
      <c r="B29" s="159">
        <v>40940</v>
      </c>
      <c r="C29" s="126"/>
      <c r="D29" s="126"/>
      <c r="E29" s="126">
        <v>17880</v>
      </c>
      <c r="F29" s="126">
        <v>17029.40662968928</v>
      </c>
      <c r="G29" s="126">
        <v>17316.60396144</v>
      </c>
    </row>
    <row r="30" spans="2:7" ht="15">
      <c r="B30" s="159">
        <v>40969</v>
      </c>
      <c r="C30" s="126"/>
      <c r="D30" s="126"/>
      <c r="E30" s="126">
        <v>19087</v>
      </c>
      <c r="F30" s="126">
        <v>17909.614485672286</v>
      </c>
      <c r="G30" s="126">
        <v>17286.621114258105</v>
      </c>
    </row>
    <row r="31" spans="2:7" ht="15">
      <c r="B31" s="159">
        <v>41000</v>
      </c>
      <c r="C31" s="126"/>
      <c r="D31" s="126"/>
      <c r="E31" s="126">
        <v>16764</v>
      </c>
      <c r="F31" s="126">
        <v>17153.07804807757</v>
      </c>
      <c r="G31" s="126">
        <v>17255.16738737085</v>
      </c>
    </row>
    <row r="32" spans="2:7" ht="15">
      <c r="B32" s="159">
        <v>41030</v>
      </c>
      <c r="C32" s="126"/>
      <c r="D32" s="126"/>
      <c r="E32" s="126">
        <v>17135</v>
      </c>
      <c r="F32" s="126">
        <v>17419.22846835673</v>
      </c>
      <c r="G32" s="126">
        <v>17222.414834197654</v>
      </c>
    </row>
    <row r="33" spans="2:7" ht="15">
      <c r="B33" s="159">
        <v>41061</v>
      </c>
      <c r="C33" s="126"/>
      <c r="D33" s="126"/>
      <c r="E33" s="126">
        <v>18656</v>
      </c>
      <c r="F33" s="126">
        <v>17609.81843837796</v>
      </c>
      <c r="G33" s="126">
        <v>17189.964763795877</v>
      </c>
    </row>
    <row r="34" spans="2:7" ht="15">
      <c r="B34" s="159">
        <v>41091</v>
      </c>
      <c r="C34" s="126"/>
      <c r="D34" s="126"/>
      <c r="E34" s="126">
        <v>16981</v>
      </c>
      <c r="F34" s="126">
        <v>16805.797487942073</v>
      </c>
      <c r="G34" s="126">
        <v>17159.91310857637</v>
      </c>
    </row>
    <row r="35" spans="2:7" ht="15">
      <c r="B35" s="159">
        <v>41122</v>
      </c>
      <c r="C35" s="126"/>
      <c r="D35" s="126"/>
      <c r="E35" s="126">
        <v>15895</v>
      </c>
      <c r="F35" s="126">
        <v>17114.476387569997</v>
      </c>
      <c r="G35" s="126">
        <v>17136.314623611644</v>
      </c>
    </row>
    <row r="36" spans="2:7" ht="15">
      <c r="B36" s="159">
        <v>41153</v>
      </c>
      <c r="C36" s="126"/>
      <c r="D36" s="126"/>
      <c r="E36" s="126">
        <v>16181</v>
      </c>
      <c r="F36" s="126">
        <v>17258.932176559003</v>
      </c>
      <c r="G36" s="126">
        <v>17126.17369780138</v>
      </c>
    </row>
    <row r="37" spans="2:7" ht="15">
      <c r="B37" s="159">
        <v>41183</v>
      </c>
      <c r="C37" s="126"/>
      <c r="D37" s="126"/>
      <c r="E37" s="126">
        <v>17605</v>
      </c>
      <c r="F37" s="126">
        <v>17185.134813512384</v>
      </c>
      <c r="G37" s="126">
        <v>17140.1172879888</v>
      </c>
    </row>
    <row r="38" spans="2:7" ht="15">
      <c r="B38" s="159">
        <v>41214</v>
      </c>
      <c r="C38" s="126"/>
      <c r="D38" s="126"/>
      <c r="E38" s="126">
        <v>15998</v>
      </c>
      <c r="F38" s="126">
        <v>16642.385378467578</v>
      </c>
      <c r="G38" s="126">
        <v>17187.00249613495</v>
      </c>
    </row>
    <row r="39" spans="2:7" ht="15">
      <c r="B39" s="159">
        <v>41244</v>
      </c>
      <c r="C39" s="126"/>
      <c r="D39" s="126"/>
      <c r="E39" s="126">
        <v>16070</v>
      </c>
      <c r="F39" s="126">
        <v>18012.650126132547</v>
      </c>
      <c r="G39" s="126">
        <v>17266.429434398295</v>
      </c>
    </row>
    <row r="40" spans="2:7" ht="15">
      <c r="B40" s="159">
        <v>41275</v>
      </c>
      <c r="C40" s="126"/>
      <c r="D40" s="126"/>
      <c r="E40" s="126">
        <v>18827</v>
      </c>
      <c r="F40" s="126">
        <v>17121.4672450303</v>
      </c>
      <c r="G40" s="126">
        <v>17376.288445984264</v>
      </c>
    </row>
    <row r="41" spans="2:7" ht="15">
      <c r="B41" s="159">
        <v>41306</v>
      </c>
      <c r="C41" s="126"/>
      <c r="D41" s="126"/>
      <c r="E41" s="126">
        <v>17637</v>
      </c>
      <c r="F41" s="126">
        <v>17523.8167487369</v>
      </c>
      <c r="G41" s="126">
        <v>17511.001761762338</v>
      </c>
    </row>
    <row r="42" spans="2:7" ht="15">
      <c r="B42" s="159">
        <v>41334</v>
      </c>
      <c r="C42" s="126"/>
      <c r="D42" s="126"/>
      <c r="E42" s="126">
        <v>18061</v>
      </c>
      <c r="F42" s="126">
        <v>17607.23551741832</v>
      </c>
      <c r="G42" s="126">
        <v>17659.928410601027</v>
      </c>
    </row>
    <row r="43" spans="2:7" ht="15">
      <c r="B43" s="159">
        <v>41365</v>
      </c>
      <c r="C43" s="126"/>
      <c r="D43" s="126"/>
      <c r="E43" s="126">
        <v>18559</v>
      </c>
      <c r="F43" s="126">
        <v>17966.381222680746</v>
      </c>
      <c r="G43" s="126">
        <v>17814.513814915394</v>
      </c>
    </row>
    <row r="44" spans="2:7" ht="15">
      <c r="B44" s="159">
        <v>41395</v>
      </c>
      <c r="C44" s="126"/>
      <c r="D44" s="126"/>
      <c r="E44" s="126">
        <v>18026</v>
      </c>
      <c r="F44" s="126">
        <v>18249.80302976024</v>
      </c>
      <c r="G44" s="126">
        <v>17967.15141193412</v>
      </c>
    </row>
    <row r="45" spans="2:7" ht="15">
      <c r="B45" s="159">
        <v>41426</v>
      </c>
      <c r="C45" s="126"/>
      <c r="D45" s="126"/>
      <c r="E45" s="126">
        <v>19187</v>
      </c>
      <c r="F45" s="126">
        <v>18946.19085901288</v>
      </c>
      <c r="G45" s="126">
        <v>18107.6343865974</v>
      </c>
    </row>
    <row r="46" spans="2:7" ht="15">
      <c r="B46" s="159">
        <v>41456</v>
      </c>
      <c r="C46" s="126"/>
      <c r="D46" s="126"/>
      <c r="E46" s="126">
        <v>19283</v>
      </c>
      <c r="F46" s="126">
        <v>18068.690603884104</v>
      </c>
      <c r="G46" s="126">
        <v>18227.993009428716</v>
      </c>
    </row>
    <row r="47" spans="2:7" ht="15">
      <c r="B47" s="159">
        <v>41487</v>
      </c>
      <c r="C47" s="126"/>
      <c r="D47" s="126"/>
      <c r="E47" s="126">
        <v>16565</v>
      </c>
      <c r="F47" s="126">
        <v>18381.03392725254</v>
      </c>
      <c r="G47" s="126">
        <v>18320.380827184952</v>
      </c>
    </row>
    <row r="48" spans="2:7" ht="15">
      <c r="B48" s="159">
        <v>41518</v>
      </c>
      <c r="C48" s="126"/>
      <c r="D48" s="126"/>
      <c r="E48" s="126">
        <v>17611</v>
      </c>
      <c r="F48" s="126">
        <v>17742.57642259075</v>
      </c>
      <c r="G48" s="126">
        <v>18376.309556210108</v>
      </c>
    </row>
    <row r="49" spans="2:7" ht="15">
      <c r="B49" s="159">
        <v>41548</v>
      </c>
      <c r="C49" s="126"/>
      <c r="D49" s="126"/>
      <c r="E49" s="126">
        <v>18871</v>
      </c>
      <c r="F49" s="126">
        <v>18208.88843670079</v>
      </c>
      <c r="G49" s="126">
        <v>18392.815653194335</v>
      </c>
    </row>
    <row r="50" spans="2:7" ht="15">
      <c r="B50" s="159">
        <v>41579</v>
      </c>
      <c r="C50" s="126"/>
      <c r="D50" s="126"/>
      <c r="E50" s="126">
        <v>16479</v>
      </c>
      <c r="F50" s="126">
        <v>18722.256514641344</v>
      </c>
      <c r="G50" s="126">
        <v>18370.178351459726</v>
      </c>
    </row>
    <row r="51" spans="2:7" ht="15">
      <c r="B51" s="159">
        <v>41609</v>
      </c>
      <c r="C51" s="126"/>
      <c r="D51" s="126"/>
      <c r="E51" s="126">
        <v>17282</v>
      </c>
      <c r="F51" s="126">
        <v>18285.61242771985</v>
      </c>
      <c r="G51" s="126">
        <v>18311.04309811827</v>
      </c>
    </row>
    <row r="52" spans="2:7" ht="15">
      <c r="B52" s="159">
        <v>41640</v>
      </c>
      <c r="C52" s="126"/>
      <c r="D52" s="126"/>
      <c r="E52" s="126">
        <v>20491</v>
      </c>
      <c r="F52" s="126">
        <v>18703.527851090905</v>
      </c>
      <c r="G52" s="126">
        <v>18219.40630315883</v>
      </c>
    </row>
    <row r="53" spans="2:7" ht="15">
      <c r="B53" s="159">
        <v>41671</v>
      </c>
      <c r="C53" s="126"/>
      <c r="D53" s="126"/>
      <c r="E53" s="126">
        <v>18400</v>
      </c>
      <c r="F53" s="126">
        <v>18321.787582070236</v>
      </c>
      <c r="G53" s="126">
        <v>18101.34016511451</v>
      </c>
    </row>
    <row r="54" spans="2:7" ht="15">
      <c r="B54" s="159">
        <v>41699</v>
      </c>
      <c r="C54" s="126"/>
      <c r="D54" s="126"/>
      <c r="E54" s="126">
        <v>18109</v>
      </c>
      <c r="F54" s="126">
        <v>17655.045041227844</v>
      </c>
      <c r="G54" s="126">
        <v>17962.136736525732</v>
      </c>
    </row>
    <row r="55" spans="2:7" ht="15">
      <c r="B55" s="159">
        <v>41730</v>
      </c>
      <c r="C55" s="126"/>
      <c r="D55" s="126"/>
      <c r="E55" s="126">
        <v>18229</v>
      </c>
      <c r="F55" s="126">
        <v>17637.69074649027</v>
      </c>
      <c r="G55" s="126">
        <v>17808.596189669108</v>
      </c>
    </row>
    <row r="56" spans="2:7" ht="15">
      <c r="B56" s="159">
        <v>41760</v>
      </c>
      <c r="C56" s="126"/>
      <c r="D56" s="126"/>
      <c r="E56" s="126">
        <v>17372</v>
      </c>
      <c r="F56" s="126">
        <v>17529.829345549715</v>
      </c>
      <c r="G56" s="126">
        <v>17648.62920957606</v>
      </c>
    </row>
    <row r="57" spans="2:7" ht="15">
      <c r="B57" s="159">
        <v>41791</v>
      </c>
      <c r="C57" s="126"/>
      <c r="D57" s="126"/>
      <c r="E57" s="126">
        <v>17630</v>
      </c>
      <c r="F57" s="126">
        <v>17317.82835901288</v>
      </c>
      <c r="G57" s="126">
        <v>17492.885799332136</v>
      </c>
    </row>
    <row r="58" spans="2:7" ht="15">
      <c r="B58" s="159">
        <v>41821</v>
      </c>
      <c r="C58" s="126"/>
      <c r="D58" s="126"/>
      <c r="E58" s="126">
        <v>17864</v>
      </c>
      <c r="F58" s="126">
        <v>17517.79349942666</v>
      </c>
      <c r="G58" s="126">
        <v>17350.721396960864</v>
      </c>
    </row>
    <row r="59" spans="2:7" ht="15">
      <c r="B59" s="159">
        <v>41852</v>
      </c>
      <c r="C59" s="126"/>
      <c r="D59" s="126"/>
      <c r="E59" s="126">
        <v>14663</v>
      </c>
      <c r="F59" s="126">
        <v>17219.74935060292</v>
      </c>
      <c r="G59" s="126">
        <v>17227.358972479902</v>
      </c>
    </row>
    <row r="60" spans="2:7" ht="15">
      <c r="B60" s="159">
        <v>41883</v>
      </c>
      <c r="C60" s="126"/>
      <c r="D60" s="126"/>
      <c r="E60" s="126">
        <v>17711</v>
      </c>
      <c r="F60" s="126">
        <v>17043.132569523033</v>
      </c>
      <c r="G60" s="126">
        <v>17125.227185401825</v>
      </c>
    </row>
    <row r="61" spans="2:7" ht="15">
      <c r="B61" s="159">
        <v>41913</v>
      </c>
      <c r="C61" s="126"/>
      <c r="D61" s="126"/>
      <c r="E61" s="126">
        <v>17744</v>
      </c>
      <c r="F61" s="126">
        <v>17185.413908050046</v>
      </c>
      <c r="G61" s="126">
        <v>17044.64050884292</v>
      </c>
    </row>
    <row r="62" spans="2:7" ht="15">
      <c r="B62" s="159">
        <v>41944</v>
      </c>
      <c r="C62" s="126"/>
      <c r="D62" s="126"/>
      <c r="E62" s="126">
        <v>14940</v>
      </c>
      <c r="F62" s="126">
        <v>17028.566927924592</v>
      </c>
      <c r="G62" s="126">
        <v>16980.93634778</v>
      </c>
    </row>
    <row r="63" spans="2:7" ht="15">
      <c r="B63" s="159">
        <v>41974</v>
      </c>
      <c r="C63" s="126"/>
      <c r="D63" s="126"/>
      <c r="E63" s="126">
        <v>16472</v>
      </c>
      <c r="F63" s="126">
        <v>16734.246492570743</v>
      </c>
      <c r="G63" s="126">
        <v>16929.06976877178</v>
      </c>
    </row>
    <row r="64" spans="2:7" ht="57.75" customHeight="1">
      <c r="B64" s="180" t="s">
        <v>139</v>
      </c>
      <c r="C64" s="180"/>
      <c r="D64" s="180"/>
      <c r="E64" s="180"/>
      <c r="F64" s="180"/>
      <c r="G64" s="180"/>
    </row>
  </sheetData>
  <sheetProtection/>
  <mergeCells count="2">
    <mergeCell ref="B2:G2"/>
    <mergeCell ref="B64:G6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Vilain Annick</dc:creator>
  <cp:keywords/>
  <dc:description/>
  <cp:lastModifiedBy>Jeandet Stéphane</cp:lastModifiedBy>
  <dcterms:created xsi:type="dcterms:W3CDTF">2015-03-06T15:08:14Z</dcterms:created>
  <dcterms:modified xsi:type="dcterms:W3CDTF">2015-07-08T08:46:05Z</dcterms:modified>
  <cp:category/>
  <cp:version/>
  <cp:contentType/>
  <cp:contentStatus/>
</cp:coreProperties>
</file>