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een.guhur\Desktop\Laureen\ER Dépenses de santé RAC\6-Mise en ligne\"/>
    </mc:Choice>
  </mc:AlternateContent>
  <bookViews>
    <workbookView xWindow="0" yWindow="0" windowWidth="25200" windowHeight="11850" firstSheet="3" activeTab="6"/>
  </bookViews>
  <sheets>
    <sheet name="Tableau 1" sheetId="9" r:id="rId1"/>
    <sheet name="Graphique 1" sheetId="3" r:id="rId2"/>
    <sheet name="Graphique 2" sheetId="5" r:id="rId3"/>
    <sheet name="Graphique 3" sheetId="7" r:id="rId4"/>
    <sheet name="Tableau complémentaire A" sheetId="10" r:id="rId5"/>
    <sheet name="Tableau complémentaire B" sheetId="12" r:id="rId6"/>
    <sheet name="Tableau complémentaire C" sheetId="8" r:id="rId7"/>
  </sheets>
  <definedNames>
    <definedName name="_xlnm._FilterDatabase" localSheetId="2" hidden="1">'Tableau complémentaire B'!$B$4:$F$16</definedName>
    <definedName name="Z_6A2E9D47_DC67_47D5_B0E5_D5F68BC84AAF_.wvu.Rows" localSheetId="2" hidden="1">'Graphique 2'!$20:$21</definedName>
  </definedNames>
  <calcPr calcId="162913"/>
  <customWorkbookViews>
    <customWorkbookView name="COMETX, Romain (DREES/OSAM/BAMEDS) - Affichage personnalisé" guid="{6A2E9D47-DC67-47D5-B0E5-D5F68BC84AAF}"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5" l="1"/>
  <c r="E35" i="5"/>
  <c r="F35" i="5"/>
  <c r="F37" i="5" l="1"/>
  <c r="E37" i="5"/>
  <c r="D37" i="5"/>
  <c r="F36" i="5"/>
  <c r="E36" i="5"/>
  <c r="D36" i="5"/>
  <c r="F32" i="5"/>
  <c r="E32" i="5"/>
  <c r="D32" i="5"/>
  <c r="F33" i="5"/>
  <c r="E33" i="5"/>
  <c r="D33" i="5"/>
  <c r="F29" i="5"/>
  <c r="E29" i="5"/>
  <c r="D29" i="5"/>
  <c r="F34" i="5"/>
  <c r="E34" i="5"/>
  <c r="D34" i="5"/>
  <c r="F30" i="5"/>
  <c r="E30" i="5"/>
  <c r="D30" i="5"/>
  <c r="F28" i="5"/>
  <c r="E28" i="5"/>
  <c r="D28" i="5"/>
  <c r="F25" i="5"/>
  <c r="E25" i="5"/>
  <c r="D25" i="5"/>
  <c r="F31" i="5"/>
  <c r="E31" i="5"/>
  <c r="D31" i="5"/>
  <c r="F27" i="5"/>
  <c r="E27" i="5"/>
  <c r="D27" i="5"/>
  <c r="F26" i="5"/>
  <c r="E26" i="5"/>
  <c r="D26" i="5"/>
  <c r="F17" i="5"/>
  <c r="E17" i="5"/>
  <c r="D17" i="5"/>
  <c r="F16" i="5"/>
  <c r="E16" i="5"/>
  <c r="D16" i="5"/>
  <c r="F15" i="5"/>
  <c r="E15" i="5"/>
  <c r="D15" i="5"/>
  <c r="F14" i="5"/>
  <c r="E14" i="5"/>
  <c r="D14" i="5"/>
  <c r="F13" i="5"/>
  <c r="E13" i="5"/>
  <c r="D13" i="5"/>
  <c r="F12" i="5"/>
  <c r="E12" i="5"/>
  <c r="D12" i="5"/>
  <c r="F11" i="5"/>
  <c r="E11" i="5"/>
  <c r="D11" i="5"/>
  <c r="F10" i="5"/>
  <c r="E10" i="5"/>
  <c r="D10" i="5"/>
  <c r="F9" i="5"/>
  <c r="E9" i="5"/>
  <c r="D9" i="5"/>
  <c r="F8" i="5"/>
  <c r="E8" i="5"/>
  <c r="D8" i="5"/>
  <c r="F7" i="5"/>
  <c r="E7" i="5"/>
  <c r="D7" i="5"/>
  <c r="F6" i="5"/>
  <c r="E6" i="5"/>
  <c r="D6" i="5"/>
  <c r="F5" i="5"/>
  <c r="E5" i="5"/>
  <c r="D5" i="5"/>
  <c r="E5" i="7" l="1"/>
  <c r="E6" i="7"/>
  <c r="E7" i="7"/>
  <c r="E8" i="7"/>
  <c r="E9" i="7"/>
  <c r="E10" i="7"/>
  <c r="E11" i="7"/>
  <c r="E12" i="7"/>
  <c r="E13" i="7"/>
  <c r="E14" i="7"/>
  <c r="E15" i="7"/>
  <c r="E4" i="7"/>
</calcChain>
</file>

<file path=xl/sharedStrings.xml><?xml version="1.0" encoding="utf-8"?>
<sst xmlns="http://schemas.openxmlformats.org/spreadsheetml/2006/main" count="576" uniqueCount="121">
  <si>
    <t>11 - 20 ans</t>
  </si>
  <si>
    <t>21 - 30 ans</t>
  </si>
  <si>
    <t>31 - 40 ans</t>
  </si>
  <si>
    <t>41 - 50 ans</t>
  </si>
  <si>
    <t>51 - 60 ans</t>
  </si>
  <si>
    <t>61 - 70 ans</t>
  </si>
  <si>
    <t>71 - 80 ans</t>
  </si>
  <si>
    <t>Soins dentaires conservateurs</t>
  </si>
  <si>
    <t>Optique</t>
  </si>
  <si>
    <t>Transports</t>
  </si>
  <si>
    <t>Pharmacie</t>
  </si>
  <si>
    <t>Total</t>
  </si>
  <si>
    <t>Spécialistes</t>
  </si>
  <si>
    <t>Taux de recours (en %)</t>
  </si>
  <si>
    <t>Poste de soins</t>
  </si>
  <si>
    <t>Part RAC opposable (en %)</t>
  </si>
  <si>
    <t>Part liberté tarifaire (en %)</t>
  </si>
  <si>
    <t>Dixième de dépense</t>
  </si>
  <si>
    <t>Dixième de dépense en psychiatrie</t>
  </si>
  <si>
    <t>2 685</t>
  </si>
  <si>
    <t>Auxiliaires médicaux</t>
  </si>
  <si>
    <t>Hôpital</t>
  </si>
  <si>
    <t>4 431</t>
  </si>
  <si>
    <t>Transport</t>
  </si>
  <si>
    <t>Audioprothèses</t>
  </si>
  <si>
    <t>Autres spécialistes</t>
  </si>
  <si>
    <t>Cardiologue</t>
  </si>
  <si>
    <t>Dermatologue</t>
  </si>
  <si>
    <t>Médecin généraliste</t>
  </si>
  <si>
    <t>Ophtalmologue</t>
  </si>
  <si>
    <t>ORL</t>
  </si>
  <si>
    <t>Psychiatre</t>
  </si>
  <si>
    <t>Radiologue</t>
  </si>
  <si>
    <r>
      <t>Champ</t>
    </r>
    <r>
      <rPr>
        <sz val="8"/>
        <color theme="1"/>
        <rFont val="Marianne"/>
      </rPr>
      <t> </t>
    </r>
    <r>
      <rPr>
        <b/>
        <sz val="8"/>
        <color theme="1"/>
        <rFont val="Marianne"/>
      </rPr>
      <t>&gt;</t>
    </r>
    <r>
      <rPr>
        <sz val="8"/>
        <color theme="1"/>
        <rFont val="Marianne"/>
      </rPr>
      <t xml:space="preserve"> Population des consommants affiliés à l’ensemble des régimes (hors Sénat et Assemblée nationale) ; dépenses individualisables, remboursables et présentées au remboursement. France entière. </t>
    </r>
  </si>
  <si>
    <t>Soins dentaires prothétiques 
et orthodontie</t>
  </si>
  <si>
    <t>Classe d’âge</t>
  </si>
  <si>
    <r>
      <t>Champ &gt;</t>
    </r>
    <r>
      <rPr>
        <sz val="8"/>
        <color theme="1"/>
        <rFont val="Marianne"/>
      </rPr>
      <t xml:space="preserve"> Population des consommants affiliés à l’ensemble des régimes (hors Sénat et Assemblée nationale) ; dépenses individualisables, remboursables et présentées au remboursement. France entière. </t>
    </r>
  </si>
  <si>
    <t>Laboratoire</t>
  </si>
  <si>
    <t>Soins dentaires prothétiques et orthodontie</t>
  </si>
  <si>
    <t>Dépense moyenne (en euros)</t>
  </si>
  <si>
    <t>Tous spécialistes</t>
  </si>
  <si>
    <t>0 - 10 ans</t>
  </si>
  <si>
    <r>
      <rPr>
        <b/>
        <sz val="8"/>
        <color theme="1"/>
        <rFont val="Marianne"/>
      </rPr>
      <t>Lecture &gt;</t>
    </r>
    <r>
      <rPr>
        <sz val="8"/>
        <color theme="1"/>
        <rFont val="Marianne"/>
      </rPr>
      <t xml:space="preserve"> En 2017, 15 % des enfants âgés de 0 à 10 ans inclus ont eu recours au moins une fois à l’hôpital, pour une dépense moyenne de 2</t>
    </r>
    <r>
      <rPr>
        <sz val="8"/>
        <color theme="1"/>
        <rFont val="Calibri"/>
        <family val="2"/>
      </rPr>
      <t> </t>
    </r>
    <r>
      <rPr>
        <sz val="8"/>
        <color theme="1"/>
        <rFont val="Marianne"/>
      </rPr>
      <t>581</t>
    </r>
    <r>
      <rPr>
        <sz val="8"/>
        <color theme="1"/>
        <rFont val="Calibri"/>
        <family val="2"/>
      </rPr>
      <t> </t>
    </r>
    <r>
      <rPr>
        <sz val="8"/>
        <color theme="1"/>
        <rFont val="Marianne"/>
      </rPr>
      <t>euros.</t>
    </r>
  </si>
  <si>
    <t>Gynécologue</t>
  </si>
  <si>
    <t>5 derniers centièmes</t>
  </si>
  <si>
    <r>
      <t>1</t>
    </r>
    <r>
      <rPr>
        <vertAlign val="superscript"/>
        <sz val="8"/>
        <rFont val="Marianne"/>
      </rPr>
      <t>er</t>
    </r>
    <r>
      <rPr>
        <sz val="8"/>
        <rFont val="Marianne"/>
      </rPr>
      <t xml:space="preserve"> dixième</t>
    </r>
  </si>
  <si>
    <r>
      <t>2</t>
    </r>
    <r>
      <rPr>
        <vertAlign val="superscript"/>
        <sz val="8"/>
        <rFont val="Marianne"/>
      </rPr>
      <t>e</t>
    </r>
    <r>
      <rPr>
        <sz val="8"/>
        <rFont val="Marianne"/>
      </rPr>
      <t xml:space="preserve"> dixième</t>
    </r>
  </si>
  <si>
    <r>
      <t>3</t>
    </r>
    <r>
      <rPr>
        <vertAlign val="superscript"/>
        <sz val="8"/>
        <rFont val="Marianne"/>
      </rPr>
      <t>e</t>
    </r>
    <r>
      <rPr>
        <sz val="8"/>
        <rFont val="Marianne"/>
      </rPr>
      <t xml:space="preserve"> dixième</t>
    </r>
  </si>
  <si>
    <r>
      <t>4</t>
    </r>
    <r>
      <rPr>
        <vertAlign val="superscript"/>
        <sz val="8"/>
        <rFont val="Marianne"/>
      </rPr>
      <t>e</t>
    </r>
    <r>
      <rPr>
        <sz val="8"/>
        <rFont val="Marianne"/>
      </rPr>
      <t xml:space="preserve"> dixième</t>
    </r>
  </si>
  <si>
    <r>
      <t>5</t>
    </r>
    <r>
      <rPr>
        <vertAlign val="superscript"/>
        <sz val="8"/>
        <rFont val="Marianne"/>
      </rPr>
      <t>e</t>
    </r>
    <r>
      <rPr>
        <sz val="8"/>
        <rFont val="Marianne"/>
      </rPr>
      <t xml:space="preserve"> dixième</t>
    </r>
  </si>
  <si>
    <r>
      <t>6</t>
    </r>
    <r>
      <rPr>
        <vertAlign val="superscript"/>
        <sz val="8"/>
        <rFont val="Marianne"/>
      </rPr>
      <t>e</t>
    </r>
    <r>
      <rPr>
        <sz val="8"/>
        <rFont val="Marianne"/>
      </rPr>
      <t xml:space="preserve"> dixième</t>
    </r>
  </si>
  <si>
    <r>
      <t>7</t>
    </r>
    <r>
      <rPr>
        <vertAlign val="superscript"/>
        <sz val="8"/>
        <rFont val="Marianne"/>
      </rPr>
      <t>e</t>
    </r>
    <r>
      <rPr>
        <sz val="8"/>
        <rFont val="Marianne"/>
      </rPr>
      <t xml:space="preserve"> dixième</t>
    </r>
  </si>
  <si>
    <r>
      <t>8</t>
    </r>
    <r>
      <rPr>
        <vertAlign val="superscript"/>
        <sz val="8"/>
        <rFont val="Marianne"/>
      </rPr>
      <t>e</t>
    </r>
    <r>
      <rPr>
        <sz val="8"/>
        <rFont val="Marianne"/>
      </rPr>
      <t xml:space="preserve"> dixième</t>
    </r>
  </si>
  <si>
    <r>
      <t>9</t>
    </r>
    <r>
      <rPr>
        <vertAlign val="superscript"/>
        <sz val="8"/>
        <rFont val="Marianne"/>
      </rPr>
      <t>e</t>
    </r>
    <r>
      <rPr>
        <sz val="8"/>
        <rFont val="Marianne"/>
      </rPr>
      <t xml:space="preserve"> dixième</t>
    </r>
  </si>
  <si>
    <t>Dernier dixième</t>
  </si>
  <si>
    <t>Dernier centième</t>
  </si>
  <si>
    <r>
      <t>1</t>
    </r>
    <r>
      <rPr>
        <vertAlign val="superscript"/>
        <sz val="8"/>
        <color rgb="FF000000"/>
        <rFont val="Marianne"/>
      </rPr>
      <t>er</t>
    </r>
    <r>
      <rPr>
        <sz val="8"/>
        <color rgb="FF000000"/>
        <rFont val="Marianne"/>
      </rPr>
      <t xml:space="preserve"> dixième</t>
    </r>
  </si>
  <si>
    <r>
      <t>2</t>
    </r>
    <r>
      <rPr>
        <vertAlign val="superscript"/>
        <sz val="8"/>
        <color rgb="FF000000"/>
        <rFont val="Marianne"/>
      </rPr>
      <t>e</t>
    </r>
    <r>
      <rPr>
        <sz val="8"/>
        <color rgb="FF000000"/>
        <rFont val="Marianne"/>
      </rPr>
      <t xml:space="preserve"> dixième</t>
    </r>
  </si>
  <si>
    <r>
      <t>3</t>
    </r>
    <r>
      <rPr>
        <vertAlign val="superscript"/>
        <sz val="8"/>
        <color rgb="FF000000"/>
        <rFont val="Marianne"/>
      </rPr>
      <t>e</t>
    </r>
    <r>
      <rPr>
        <sz val="8"/>
        <color rgb="FF000000"/>
        <rFont val="Marianne"/>
      </rPr>
      <t xml:space="preserve"> dixième</t>
    </r>
  </si>
  <si>
    <r>
      <t>4</t>
    </r>
    <r>
      <rPr>
        <vertAlign val="superscript"/>
        <sz val="8"/>
        <color rgb="FF000000"/>
        <rFont val="Marianne"/>
      </rPr>
      <t>e</t>
    </r>
    <r>
      <rPr>
        <sz val="8"/>
        <color rgb="FF000000"/>
        <rFont val="Marianne"/>
      </rPr>
      <t xml:space="preserve"> dixième</t>
    </r>
  </si>
  <si>
    <r>
      <t>5</t>
    </r>
    <r>
      <rPr>
        <vertAlign val="superscript"/>
        <sz val="8"/>
        <color rgb="FF000000"/>
        <rFont val="Marianne"/>
      </rPr>
      <t>e</t>
    </r>
    <r>
      <rPr>
        <sz val="8"/>
        <color rgb="FF000000"/>
        <rFont val="Marianne"/>
      </rPr>
      <t xml:space="preserve"> dixième</t>
    </r>
  </si>
  <si>
    <r>
      <t>6</t>
    </r>
    <r>
      <rPr>
        <vertAlign val="superscript"/>
        <sz val="8"/>
        <color rgb="FF000000"/>
        <rFont val="Marianne"/>
      </rPr>
      <t>e</t>
    </r>
    <r>
      <rPr>
        <sz val="8"/>
        <color rgb="FF000000"/>
        <rFont val="Marianne"/>
      </rPr>
      <t xml:space="preserve"> dixième</t>
    </r>
  </si>
  <si>
    <r>
      <t>7</t>
    </r>
    <r>
      <rPr>
        <vertAlign val="superscript"/>
        <sz val="8"/>
        <color rgb="FF000000"/>
        <rFont val="Marianne"/>
      </rPr>
      <t>e</t>
    </r>
    <r>
      <rPr>
        <sz val="8"/>
        <color rgb="FF000000"/>
        <rFont val="Marianne"/>
      </rPr>
      <t xml:space="preserve"> dixième</t>
    </r>
  </si>
  <si>
    <r>
      <t>8</t>
    </r>
    <r>
      <rPr>
        <vertAlign val="superscript"/>
        <sz val="8"/>
        <color rgb="FF000000"/>
        <rFont val="Marianne"/>
      </rPr>
      <t>e</t>
    </r>
    <r>
      <rPr>
        <sz val="8"/>
        <color rgb="FF000000"/>
        <rFont val="Marianne"/>
      </rPr>
      <t xml:space="preserve"> dixième</t>
    </r>
  </si>
  <si>
    <r>
      <t>9</t>
    </r>
    <r>
      <rPr>
        <vertAlign val="superscript"/>
        <sz val="8"/>
        <color rgb="FF000000"/>
        <rFont val="Marianne"/>
      </rPr>
      <t>e</t>
    </r>
    <r>
      <rPr>
        <sz val="8"/>
        <color rgb="FF000000"/>
        <rFont val="Marianne"/>
      </rPr>
      <t xml:space="preserve"> dixième</t>
    </r>
  </si>
  <si>
    <r>
      <t xml:space="preserve">Sources &gt; </t>
    </r>
    <r>
      <rPr>
        <sz val="8"/>
        <color theme="1"/>
        <rFont val="Marianne"/>
      </rPr>
      <t xml:space="preserve"> Datamart de consommation inter-régime (DCIR) [Caisse nationale de l’Assurance maladie] ; programme de médicalisation des systèmes d’information (PMSI) [Agence technique de l’information sur l’hospitalisation] 2017 ; calculs DREES. </t>
    </r>
  </si>
  <si>
    <r>
      <t xml:space="preserve">Sources &gt;  </t>
    </r>
    <r>
      <rPr>
        <sz val="8"/>
        <color theme="1"/>
        <rFont val="Marianne"/>
      </rPr>
      <t xml:space="preserve">Datamart de consommation inter-régime (DCIR) [Caisse nationale de l’Assurance maladie] ; programme de médicalisation des systèmes d’information (PMSI) [Agence technique de l’information sur l’hospitalisation] 2017 ; calculs DREES. </t>
    </r>
  </si>
  <si>
    <r>
      <t xml:space="preserve">Sources &gt; </t>
    </r>
    <r>
      <rPr>
        <sz val="8"/>
        <color theme="1"/>
        <rFont val="Marianne"/>
      </rPr>
      <t xml:space="preserve">Datamart de consommation inter-régime (DCIR) [Caisse nationale de l’Assurance maladie] ; programme de médicalisation des systèmes d’information (PMSI) [Agence technique de l’information sur l’hospitalisation] 2017 ; calculs DREES. </t>
    </r>
  </si>
  <si>
    <r>
      <rPr>
        <b/>
        <sz val="8"/>
        <color theme="1"/>
        <rFont val="Marianne"/>
      </rPr>
      <t>Sources &gt;</t>
    </r>
    <r>
      <rPr>
        <sz val="8"/>
        <color theme="1"/>
        <rFont val="Marianne"/>
      </rPr>
      <t xml:space="preserve"> Datamart de consommation inter-régime (DCIR) [Caisse nationale de l’Assurance maladie] ; programme de médicalisation des systèmes 
d’information (PMSI) [Agence technique de l’information sur l’hospitalisation] 2017 ; calculs DREES. </t>
    </r>
  </si>
  <si>
    <t>Consultations de chirurgien (hors opération)</t>
  </si>
  <si>
    <t>Autres frais</t>
  </si>
  <si>
    <r>
      <t xml:space="preserve">Lecture &gt; </t>
    </r>
    <r>
      <rPr>
        <sz val="8"/>
        <color theme="1"/>
        <rFont val="Marianne"/>
      </rPr>
      <t>Pour l'ensemble des consommants, la dépense annuelle moyenne chez le médecin généraliste (143 euros) est prise en charge à 77 % par la Sécurité sociale. 3 % correspond au RAC opposable (20 % à la liberté tarifaire).</t>
    </r>
  </si>
  <si>
    <t>Proportion des consommants en ALD (en %)</t>
  </si>
  <si>
    <t>Proportion des consommants sans ALD (en %)</t>
  </si>
  <si>
    <r>
      <t>Champ</t>
    </r>
    <r>
      <rPr>
        <sz val="8"/>
        <color theme="1"/>
        <rFont val="Marianne"/>
      </rPr>
      <t> </t>
    </r>
    <r>
      <rPr>
        <b/>
        <sz val="8"/>
        <color theme="1"/>
        <rFont val="Marianne"/>
      </rPr>
      <t>&gt;</t>
    </r>
    <r>
      <rPr>
        <sz val="8"/>
        <color theme="1"/>
        <rFont val="Marianne"/>
      </rPr>
      <t xml:space="preserve"> Taux de recours : population de référence, constituée des consommants du Système national des données de santé (SNDS). Dépenses : population des consommants affiliés à l’ensemble des régimes (hors Sénat et Assemblée nationale) ; dépenses individualisables, remboursables et présentées au remboursement. France entière. </t>
    </r>
  </si>
  <si>
    <t>2b – Personnes sans ALD</t>
  </si>
  <si>
    <r>
      <t>Part du poste dans le total des dépenses  (en</t>
    </r>
    <r>
      <rPr>
        <b/>
        <sz val="8"/>
        <color theme="1"/>
        <rFont val="Calibri"/>
        <family val="2"/>
      </rPr>
      <t> </t>
    </r>
    <r>
      <rPr>
        <b/>
        <sz val="8"/>
        <color theme="1"/>
        <rFont val="Marianne"/>
      </rPr>
      <t>%)</t>
    </r>
  </si>
  <si>
    <r>
      <t>Taux de recours (en</t>
    </r>
    <r>
      <rPr>
        <b/>
        <sz val="8"/>
        <color theme="1"/>
        <rFont val="Calibri"/>
        <family val="2"/>
      </rPr>
      <t> </t>
    </r>
    <r>
      <rPr>
        <b/>
        <sz val="8"/>
        <color theme="1"/>
        <rFont val="Marianne"/>
      </rPr>
      <t>%)</t>
    </r>
  </si>
  <si>
    <r>
      <t>Dépense annuelle moyenne par consommant (en</t>
    </r>
    <r>
      <rPr>
        <b/>
        <sz val="8"/>
        <color theme="1"/>
        <rFont val="Calibri"/>
        <family val="2"/>
      </rPr>
      <t> </t>
    </r>
    <r>
      <rPr>
        <b/>
        <sz val="8"/>
        <color theme="1"/>
        <rFont val="Marianne"/>
      </rPr>
      <t>euros)</t>
    </r>
  </si>
  <si>
    <r>
      <t>Poids du dernier dixième de dépense dans la dépense totale (en</t>
    </r>
    <r>
      <rPr>
        <b/>
        <sz val="8"/>
        <color theme="1"/>
        <rFont val="Calibri"/>
        <family val="2"/>
      </rPr>
      <t> </t>
    </r>
    <r>
      <rPr>
        <b/>
        <sz val="8"/>
        <color theme="1"/>
        <rFont val="Marianne"/>
      </rPr>
      <t>%)</t>
    </r>
  </si>
  <si>
    <r>
      <t>Poids du dernier centième de dépense dans la dépense du dernier dixième (en</t>
    </r>
    <r>
      <rPr>
        <b/>
        <sz val="8"/>
        <color theme="1"/>
        <rFont val="Calibri"/>
        <family val="2"/>
      </rPr>
      <t> </t>
    </r>
    <r>
      <rPr>
        <b/>
        <sz val="8"/>
        <color theme="1"/>
        <rFont val="Marianne"/>
      </rPr>
      <t>%)</t>
    </r>
  </si>
  <si>
    <t xml:space="preserve"> 1 b – Consommants en audioprothèses</t>
  </si>
  <si>
    <t>1a – Consommants à l’hôpital</t>
  </si>
  <si>
    <r>
      <t>Champ &gt;</t>
    </r>
    <r>
      <rPr>
        <sz val="8"/>
        <color theme="1"/>
        <rFont val="Marianne"/>
      </rPr>
      <t xml:space="preserve"> Taux de recours : population de référence, constituée des consommants du Système national des données de santé (SNDS). Dépenses : population des consommants affiliés à l’ensemble des régimes (hors Sénat et Assemblée nationale) ; dépenses individualisables, remboursables et présentées au remboursement. France entière. </t>
    </r>
  </si>
  <si>
    <t>RAC : reste à charge ; AMO : assurance maladie obligatoire.</t>
  </si>
  <si>
    <r>
      <t xml:space="preserve">Sources &gt; </t>
    </r>
    <r>
      <rPr>
        <sz val="8"/>
        <color theme="1"/>
        <rFont val="Marianne"/>
      </rPr>
      <t>Datamart de consommation inter-régime (DCIR) [Caisse nationale de l’Assurance maladie] ; programme de médicalisation des systèmes d’information (PMSI) [Agence technique de l’information sur l’hospitalisation]</t>
    </r>
    <r>
      <rPr>
        <sz val="8"/>
        <color theme="1"/>
        <rFont val="Calibri"/>
        <family val="2"/>
      </rPr>
      <t> </t>
    </r>
    <r>
      <rPr>
        <sz val="8"/>
        <color theme="1"/>
        <rFont val="Marianne"/>
      </rPr>
      <t xml:space="preserve">2017 ; calculs DREES. </t>
    </r>
  </si>
  <si>
    <t>2a – Personnes en ALD</t>
  </si>
  <si>
    <r>
      <rPr>
        <b/>
        <sz val="8"/>
        <color theme="1"/>
        <rFont val="Marianne"/>
      </rPr>
      <t xml:space="preserve">Champ &gt; </t>
    </r>
    <r>
      <rPr>
        <sz val="8"/>
        <color theme="1"/>
        <rFont val="Marianne"/>
      </rPr>
      <t xml:space="preserve">Taux de recours : population de référence, constituée des consommants du Système national des données de santé (SNDS). Dépenses : population des consommants affiliés à l’ensemble des régimes (hors Sénat et Assemblée nationale) ; dépenses individualisables, remboursables et présentées au remboursement. France entière. </t>
    </r>
  </si>
  <si>
    <t>Auxiliaires</t>
  </si>
  <si>
    <t>Plus de 80 ans</t>
  </si>
  <si>
    <t>RAC AMO : reste à charge après assurance maladie obligatoire.</t>
  </si>
  <si>
    <t>En euros</t>
  </si>
  <si>
    <t>RAC AMO moyen des personnes 
de 41 à 50 ans sans ALD</t>
  </si>
  <si>
    <t>RAC AMO moyen des personnes 
sans ALD</t>
  </si>
  <si>
    <r>
      <t>RAC AMO moyen des personnes 
en</t>
    </r>
    <r>
      <rPr>
        <b/>
        <sz val="8"/>
        <color rgb="FF92D050"/>
        <rFont val="Marianne"/>
      </rPr>
      <t xml:space="preserve"> </t>
    </r>
    <r>
      <rPr>
        <b/>
        <sz val="8"/>
        <color theme="1"/>
        <rFont val="Marianne"/>
      </rPr>
      <t>ALD</t>
    </r>
  </si>
  <si>
    <t xml:space="preserve"> </t>
  </si>
  <si>
    <t>Tableau 1 – Recours aux soins, dépense moyenne par consommant et variabilité de la dépense, en 2017, par poste de soins</t>
  </si>
  <si>
    <t>Graphique 1 – Taux de recours et dépense moyenne par consommant selon l’âge en 2017</t>
  </si>
  <si>
    <t>Dépense moyenne pour les recourants (en euros)</t>
  </si>
  <si>
    <t>Graphique 3 – Dépenses, RAC moyens après AMO par consommant et taux de prise en charge par l’AMO, en 2017, selon la distribution de la dépense</t>
  </si>
  <si>
    <t>Taux de prise en charge par l'AMO (en %)</t>
  </si>
  <si>
    <t>Autres : dispositifs médicaux hors optique, dentaire, audio ; cures, prévention.</t>
  </si>
  <si>
    <r>
      <t xml:space="preserve">Note &gt; </t>
    </r>
    <r>
      <rPr>
        <sz val="8"/>
        <color theme="1"/>
        <rFont val="Marianne"/>
      </rPr>
      <t>Pour chaque poste de soins, le dernier dixième de dépense correspond aux 10 % des consommants avec les dépenses les plus élevées, le dernier centième aux 1 % avec les dépenses les plus élevées.</t>
    </r>
  </si>
  <si>
    <t>Autres</t>
  </si>
  <si>
    <r>
      <t>Lecture &gt;</t>
    </r>
    <r>
      <rPr>
        <sz val="8"/>
        <color theme="1"/>
        <rFont val="Marianne"/>
      </rPr>
      <t xml:space="preserve"> En 2017, le poste de médecin généraliste réprésente 4,6 % des dépenses de santé, un taux de recours de la population de référence de 83</t>
    </r>
    <r>
      <rPr>
        <sz val="8"/>
        <color theme="1"/>
        <rFont val="Calibri"/>
        <family val="2"/>
      </rPr>
      <t> </t>
    </r>
    <r>
      <rPr>
        <sz val="8"/>
        <color theme="1"/>
        <rFont val="Marianne"/>
      </rPr>
      <t>%, une dépense annuelle moyenne par consommant de 143</t>
    </r>
    <r>
      <rPr>
        <sz val="8"/>
        <color theme="1"/>
        <rFont val="Calibri"/>
        <family val="2"/>
      </rPr>
      <t> </t>
    </r>
    <r>
      <rPr>
        <sz val="8"/>
        <color theme="1"/>
        <rFont val="Marianne"/>
      </rPr>
      <t>euros, et les 10</t>
    </r>
    <r>
      <rPr>
        <sz val="8"/>
        <color theme="1"/>
        <rFont val="Calibri"/>
        <family val="2"/>
      </rPr>
      <t> </t>
    </r>
    <r>
      <rPr>
        <sz val="8"/>
        <color theme="1"/>
        <rFont val="Marianne"/>
      </rPr>
      <t>% qui consomment le plus ont une dépense moyenne pesant pour 32 % dans les dépenses totales de ce poste. Le dernier centième représente 20 % des dépenses du dernier dixième.</t>
    </r>
  </si>
  <si>
    <r>
      <rPr>
        <b/>
        <sz val="8"/>
        <color theme="1"/>
        <rFont val="Marianne"/>
      </rPr>
      <t xml:space="preserve">Note &gt; </t>
    </r>
    <r>
      <rPr>
        <sz val="8"/>
        <color theme="1"/>
        <rFont val="Marianne"/>
      </rPr>
      <t>On appelle consommant une personne ayant eu recours au moins une fois à des soins ou à des biens médicaux en 2017.</t>
    </r>
  </si>
  <si>
    <r>
      <t>Lecture &gt;</t>
    </r>
    <r>
      <rPr>
        <sz val="8"/>
        <color theme="1"/>
        <rFont val="Marianne"/>
      </rPr>
      <t xml:space="preserve"> En 2017, 15 % des enfants âgés de 0 à 10 ans inclus ont eu recours au moins une fois à l’hôpital, pour une dépense moyenne de 2 581 euros</t>
    </r>
    <r>
      <rPr>
        <sz val="8"/>
        <color theme="1"/>
        <rFont val="Marianne"/>
      </rPr>
      <t>.</t>
    </r>
  </si>
  <si>
    <t>Graphique 2 – Décomposition de la dépense annuelle moyenne par consommant en 201,  par poste de soins, selon la part prise en charge par l’AMO, le RAC opposable et la liberté tarifaire</t>
  </si>
  <si>
    <t xml:space="preserve"> Part Sécurité sociale [AMO] (en %)</t>
  </si>
  <si>
    <t>RAC : reste à charge ; AMO : assurance maladie obligatoire ; ALD : affection longue durée ; Autres : dispositifs médicaux hors optique, dentaire, audio ; cures, prévention.</t>
  </si>
  <si>
    <r>
      <t xml:space="preserve">Lecture &gt; </t>
    </r>
    <r>
      <rPr>
        <sz val="8"/>
        <rFont val="Marianne"/>
      </rPr>
      <t>En 2017,</t>
    </r>
    <r>
      <rPr>
        <b/>
        <sz val="8"/>
        <rFont val="Marianne"/>
      </rPr>
      <t xml:space="preserve"> </t>
    </r>
    <r>
      <rPr>
        <sz val="8"/>
        <rFont val="Marianne"/>
      </rPr>
      <t>33</t>
    </r>
    <r>
      <rPr>
        <sz val="8"/>
        <rFont val="Calibri"/>
        <family val="2"/>
      </rPr>
      <t> </t>
    </r>
    <r>
      <rPr>
        <sz val="8"/>
        <rFont val="Marianne"/>
      </rPr>
      <t>% des consommants à l'hôpital sont en ALD. Leur dépense moyenne s'élève à 9319</t>
    </r>
    <r>
      <rPr>
        <sz val="8"/>
        <rFont val="Calibri"/>
        <family val="2"/>
      </rPr>
      <t> </t>
    </r>
    <r>
      <rPr>
        <sz val="8"/>
        <rFont val="Marianne"/>
      </rPr>
      <t>euros (contre 2011</t>
    </r>
    <r>
      <rPr>
        <sz val="8"/>
        <rFont val="Calibri"/>
        <family val="2"/>
      </rPr>
      <t> </t>
    </r>
    <r>
      <rPr>
        <sz val="8"/>
        <rFont val="Marianne"/>
      </rPr>
      <t>euros pour les 67</t>
    </r>
    <r>
      <rPr>
        <sz val="8"/>
        <rFont val="Calibri"/>
        <family val="2"/>
      </rPr>
      <t> </t>
    </r>
    <r>
      <rPr>
        <sz val="8"/>
        <rFont val="Marianne"/>
      </rPr>
      <t>% de consommants à l'hôpital sans ALD). Pour les personnes en ALD, cette dépense est prise en charge à</t>
    </r>
    <r>
      <rPr>
        <sz val="8"/>
        <rFont val="Calibri"/>
        <family val="2"/>
      </rPr>
      <t> </t>
    </r>
    <r>
      <rPr>
        <sz val="8"/>
        <rFont val="Marianne"/>
      </rPr>
      <t>96</t>
    </r>
    <r>
      <rPr>
        <sz val="8"/>
        <rFont val="Calibri"/>
        <family val="2"/>
      </rPr>
      <t> </t>
    </r>
    <r>
      <rPr>
        <sz val="8"/>
        <rFont val="Marianne"/>
      </rPr>
      <t>% par la Sécurité sociale, 3</t>
    </r>
    <r>
      <rPr>
        <sz val="8"/>
        <rFont val="Calibri"/>
        <family val="2"/>
      </rPr>
      <t> </t>
    </r>
    <r>
      <rPr>
        <sz val="8"/>
        <rFont val="Marianne"/>
      </rPr>
      <t>% sont du RAC opposable, 1</t>
    </r>
    <r>
      <rPr>
        <sz val="8"/>
        <rFont val="Calibri"/>
        <family val="2"/>
      </rPr>
      <t> </t>
    </r>
    <r>
      <rPr>
        <sz val="8"/>
        <rFont val="Marianne"/>
      </rPr>
      <t>% est de la liberté tarifaire.</t>
    </r>
  </si>
  <si>
    <t>Reste à charge AMO moyen (en euros)</t>
  </si>
  <si>
    <r>
      <t xml:space="preserve">Note &gt; </t>
    </r>
    <r>
      <rPr>
        <sz val="8"/>
        <color theme="1"/>
        <rFont val="Marianne"/>
      </rPr>
      <t>Le premier dixième de dépense et le dernier correspondent respectivement aux 10 % des consommants avec les dépenses les moins élevées et aux 10</t>
    </r>
    <r>
      <rPr>
        <sz val="8"/>
        <color theme="1"/>
        <rFont val="Calibri"/>
        <family val="2"/>
      </rPr>
      <t> </t>
    </r>
    <r>
      <rPr>
        <sz val="8"/>
        <color theme="1"/>
        <rFont val="Marianne"/>
      </rPr>
      <t>% avec les plus élevées. De même, le dernier centième de dépense correspond aux 1 % des consommants avec les dépenses les plus élevées.</t>
    </r>
  </si>
  <si>
    <r>
      <t>Lecture &gt;</t>
    </r>
    <r>
      <rPr>
        <sz val="8"/>
        <rFont val="Marianne"/>
      </rPr>
      <t xml:space="preserve"> Les 10 % de patients qui consomment le plus ont une dépense moyenne en 2017 de 17 321 euros par consommant et un reste à charge AMO annuel moyen de 1 548 euros, soit une prise en charge moyenne par l'AMO de 91</t>
    </r>
    <r>
      <rPr>
        <sz val="8"/>
        <rFont val="Calibri"/>
        <family val="2"/>
      </rPr>
      <t> </t>
    </r>
    <r>
      <rPr>
        <sz val="8"/>
        <rFont val="Marianne"/>
      </rPr>
      <t>% des dépenses.</t>
    </r>
  </si>
  <si>
    <t>Tableau complémentaire A – Dépense moyenne par consommant et taux de recours par poste de soins et par catégorie d’âge en 2017</t>
  </si>
  <si>
    <t>Dépense annuelle moyenne (en euros)</t>
  </si>
  <si>
    <t>RAC : reste à charge ; AMO : assurance maladie obligatoire ;  Autres : dispositifs médicaux hors optique, dentaire, audio ; cures, prévention.</t>
  </si>
  <si>
    <t>Tableau complémentaire B – Décomposition de la dépense moyenne en 2017, par poste de soins, selon la part prise en charge par l’AMO, le RAC opposable et la liberté tarifaire pour l’ensemble des consommants</t>
  </si>
  <si>
    <t>Tableau complémentaire C – RAC AMO annuels par consommant pour les consultations de psychiatres en 2017</t>
  </si>
  <si>
    <r>
      <rPr>
        <b/>
        <sz val="8"/>
        <color theme="1"/>
        <rFont val="Marianne"/>
      </rPr>
      <t>Note &gt;</t>
    </r>
    <r>
      <rPr>
        <sz val="8"/>
        <color theme="1"/>
        <rFont val="Marianne"/>
      </rPr>
      <t xml:space="preserve"> Après calcul de la distribution des dépenses en psychiatrie en fonction de chaque profil de consommants (âge, sexe, ALD), les consommants sont classés selon des dixièmes de dépense en psychiatrie propres à leurs profils. Ainsi, une personne en ALD entre 41 et 50 ans classée dans le 5</t>
    </r>
    <r>
      <rPr>
        <vertAlign val="superscript"/>
        <sz val="8"/>
        <color theme="1"/>
        <rFont val="Marianne"/>
      </rPr>
      <t>e</t>
    </r>
    <r>
      <rPr>
        <sz val="8"/>
        <color theme="1"/>
        <rFont val="Calibri"/>
        <family val="2"/>
      </rPr>
      <t> </t>
    </r>
    <r>
      <rPr>
        <sz val="8"/>
        <color theme="1"/>
        <rFont val="Marianne"/>
      </rPr>
      <t>dixième des dépenses de sa catégorie d’âge et d’ALD peut l’être dans un autre dixième de dépense parmi les personnes sans ALD sans distinction d’âge.</t>
    </r>
  </si>
  <si>
    <r>
      <t>Lecture &gt;</t>
    </r>
    <r>
      <rPr>
        <sz val="8"/>
        <color theme="1"/>
        <rFont val="Marianne"/>
      </rPr>
      <t xml:space="preserve">  Les 1 % de personnes sans ALD qui consomment le plus en psychiatrie (hors hospitalisation) ont un reste à charge moyen sur ces dépenses de 2 292</t>
    </r>
    <r>
      <rPr>
        <sz val="8"/>
        <color theme="1"/>
        <rFont val="Calibri"/>
        <family val="2"/>
      </rPr>
      <t> </t>
    </r>
    <r>
      <rPr>
        <sz val="8"/>
        <color theme="1"/>
        <rFont val="Marianne"/>
      </rPr>
      <t>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</si>
</sst>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8"/>
      <color theme="1"/>
      <name val="Calibri"/>
      <family val="2"/>
      <scheme val="minor"/>
    </font>
    <font>
      <sz val="8"/>
      <color theme="1"/>
      <name val="Calibri"/>
      <family val="2"/>
      <scheme val="minor"/>
    </font>
    <font>
      <b/>
      <sz val="8"/>
      <color rgb="FF000000"/>
      <name val="Calibri"/>
      <family val="2"/>
      <scheme val="minor"/>
    </font>
    <font>
      <sz val="8"/>
      <color rgb="FF000000"/>
      <name val="Calibri"/>
      <family val="2"/>
      <scheme val="minor"/>
    </font>
    <font>
      <b/>
      <sz val="8"/>
      <color rgb="FF000000"/>
      <name val="Marianne"/>
    </font>
    <font>
      <sz val="8"/>
      <color rgb="FF000000"/>
      <name val="Marianne"/>
    </font>
    <font>
      <sz val="8"/>
      <color theme="1"/>
      <name val="Marianne"/>
    </font>
    <font>
      <b/>
      <sz val="8"/>
      <color theme="1"/>
      <name val="Marianne"/>
    </font>
    <font>
      <sz val="8"/>
      <color theme="1"/>
      <name val="Calibri"/>
      <family val="2"/>
    </font>
    <font>
      <b/>
      <sz val="8"/>
      <color rgb="FF92D050"/>
      <name val="Marianne"/>
    </font>
    <font>
      <b/>
      <sz val="8"/>
      <name val="Marianne"/>
    </font>
    <font>
      <sz val="8"/>
      <name val="Marianne"/>
    </font>
    <font>
      <vertAlign val="superscript"/>
      <sz val="8"/>
      <color theme="1"/>
      <name val="Marianne"/>
    </font>
    <font>
      <vertAlign val="superscript"/>
      <sz val="8"/>
      <name val="Marianne"/>
    </font>
    <font>
      <vertAlign val="superscript"/>
      <sz val="8"/>
      <color rgb="FF000000"/>
      <name val="Marianne"/>
    </font>
    <font>
      <b/>
      <sz val="8"/>
      <color theme="1"/>
      <name val="Calibri"/>
      <family val="2"/>
    </font>
    <font>
      <sz val="8"/>
      <name val="Calibri"/>
      <family val="2"/>
    </font>
    <font>
      <i/>
      <sz val="8"/>
      <color theme="1"/>
      <name val="Marianne"/>
    </font>
    <font>
      <b/>
      <sz val="8"/>
      <color theme="9" tint="-0.249977111117893"/>
      <name val="Marianne"/>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auto="1"/>
      </top>
      <bottom style="thin">
        <color auto="1"/>
      </bottom>
      <diagonal/>
    </border>
    <border>
      <left style="thin">
        <color auto="1"/>
      </left>
      <right style="hair">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 fillId="0" borderId="0" applyFont="0" applyFill="0" applyBorder="0" applyAlignment="0" applyProtection="0"/>
  </cellStyleXfs>
  <cellXfs count="155">
    <xf numFmtId="0" fontId="0" fillId="0" borderId="0" xfId="0"/>
    <xf numFmtId="0" fontId="20" fillId="33" borderId="0" xfId="0" applyFont="1" applyFill="1" applyAlignment="1">
      <alignment vertical="center"/>
    </xf>
    <xf numFmtId="0" fontId="0" fillId="33" borderId="0" xfId="0" applyFill="1"/>
    <xf numFmtId="0" fontId="22" fillId="33" borderId="0" xfId="0" applyFont="1" applyFill="1"/>
    <xf numFmtId="164" fontId="0" fillId="33" borderId="0" xfId="43" applyNumberFormat="1" applyFont="1" applyFill="1"/>
    <xf numFmtId="0" fontId="19" fillId="33" borderId="0" xfId="0" applyFont="1" applyFill="1"/>
    <xf numFmtId="0" fontId="20" fillId="33" borderId="0" xfId="0" applyFont="1" applyFill="1"/>
    <xf numFmtId="0" fontId="21" fillId="33" borderId="0" xfId="0" applyFont="1" applyFill="1"/>
    <xf numFmtId="0" fontId="23" fillId="33" borderId="0" xfId="42" applyFont="1" applyFill="1"/>
    <xf numFmtId="0" fontId="24" fillId="33" borderId="17" xfId="0" applyFont="1" applyFill="1" applyBorder="1"/>
    <xf numFmtId="0" fontId="24" fillId="33" borderId="10" xfId="0" applyFont="1" applyFill="1" applyBorder="1"/>
    <xf numFmtId="164" fontId="24" fillId="33" borderId="25" xfId="43" applyNumberFormat="1" applyFont="1" applyFill="1" applyBorder="1"/>
    <xf numFmtId="0" fontId="25" fillId="33" borderId="21" xfId="0" applyFont="1" applyFill="1" applyBorder="1"/>
    <xf numFmtId="0" fontId="25" fillId="33" borderId="18" xfId="0" applyFont="1" applyFill="1" applyBorder="1"/>
    <xf numFmtId="164" fontId="25" fillId="33" borderId="22" xfId="43" applyNumberFormat="1" applyFont="1" applyFill="1" applyBorder="1"/>
    <xf numFmtId="1" fontId="25" fillId="33" borderId="18" xfId="0" applyNumberFormat="1" applyFont="1" applyFill="1" applyBorder="1"/>
    <xf numFmtId="0" fontId="25" fillId="33" borderId="19" xfId="0" applyFont="1" applyFill="1" applyBorder="1"/>
    <xf numFmtId="0" fontId="25" fillId="33" borderId="23" xfId="0" applyFont="1" applyFill="1" applyBorder="1"/>
    <xf numFmtId="164" fontId="25" fillId="33" borderId="0" xfId="43" applyNumberFormat="1" applyFont="1" applyFill="1" applyBorder="1"/>
    <xf numFmtId="1" fontId="25" fillId="33" borderId="23" xfId="0" applyNumberFormat="1" applyFont="1" applyFill="1" applyBorder="1"/>
    <xf numFmtId="0" fontId="25" fillId="33" borderId="13" xfId="0" applyFont="1" applyFill="1" applyBorder="1"/>
    <xf numFmtId="0" fontId="25" fillId="33" borderId="12" xfId="0" applyFont="1" applyFill="1" applyBorder="1"/>
    <xf numFmtId="164" fontId="25" fillId="33" borderId="12" xfId="43" applyNumberFormat="1" applyFont="1" applyFill="1" applyBorder="1"/>
    <xf numFmtId="1" fontId="25" fillId="33" borderId="12" xfId="0" applyNumberFormat="1" applyFont="1" applyFill="1" applyBorder="1"/>
    <xf numFmtId="1" fontId="25" fillId="33" borderId="16" xfId="0" applyNumberFormat="1" applyFont="1" applyFill="1" applyBorder="1"/>
    <xf numFmtId="164" fontId="25" fillId="33" borderId="20" xfId="43" applyNumberFormat="1" applyFont="1" applyFill="1" applyBorder="1"/>
    <xf numFmtId="0" fontId="26" fillId="33" borderId="0" xfId="0" applyFont="1" applyFill="1"/>
    <xf numFmtId="0" fontId="27" fillId="33" borderId="0" xfId="0" applyFont="1" applyFill="1"/>
    <xf numFmtId="0" fontId="27" fillId="33" borderId="24"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14" xfId="0" applyFont="1" applyFill="1" applyBorder="1" applyAlignment="1">
      <alignment horizontal="center" vertical="center"/>
    </xf>
    <xf numFmtId="0" fontId="26" fillId="33" borderId="23" xfId="0" applyFont="1" applyFill="1" applyBorder="1"/>
    <xf numFmtId="0" fontId="26" fillId="33" borderId="15" xfId="0" applyFont="1" applyFill="1" applyBorder="1"/>
    <xf numFmtId="0" fontId="26" fillId="33" borderId="12" xfId="0" applyFont="1" applyFill="1" applyBorder="1"/>
    <xf numFmtId="0" fontId="26" fillId="33" borderId="11" xfId="0" applyFont="1" applyFill="1" applyBorder="1"/>
    <xf numFmtId="0" fontId="27" fillId="33" borderId="0" xfId="0" applyFont="1" applyFill="1" applyAlignment="1">
      <alignment vertical="center"/>
    </xf>
    <xf numFmtId="0" fontId="27" fillId="33" borderId="17" xfId="0" applyFont="1" applyFill="1" applyBorder="1" applyAlignment="1">
      <alignment horizontal="center" vertical="center"/>
    </xf>
    <xf numFmtId="0" fontId="27" fillId="33" borderId="25" xfId="0" applyFont="1" applyFill="1" applyBorder="1" applyAlignment="1">
      <alignment horizontal="center" vertical="center"/>
    </xf>
    <xf numFmtId="1" fontId="26" fillId="33" borderId="23" xfId="0" applyNumberFormat="1" applyFont="1" applyFill="1" applyBorder="1"/>
    <xf numFmtId="0" fontId="27" fillId="33" borderId="17" xfId="0" applyFont="1" applyFill="1" applyBorder="1" applyAlignment="1">
      <alignment horizontal="justify" vertical="center" wrapText="1"/>
    </xf>
    <xf numFmtId="0" fontId="27" fillId="33" borderId="10" xfId="0" applyFont="1" applyFill="1" applyBorder="1" applyAlignment="1">
      <alignment vertical="center" wrapText="1"/>
    </xf>
    <xf numFmtId="0" fontId="26" fillId="33" borderId="14" xfId="0" applyFont="1" applyFill="1" applyBorder="1" applyAlignment="1">
      <alignment horizontal="justify" vertical="center" wrapText="1"/>
    </xf>
    <xf numFmtId="0" fontId="26" fillId="33" borderId="13" xfId="0" applyFont="1" applyFill="1" applyBorder="1" applyAlignment="1">
      <alignment horizontal="justify" vertical="center" wrapText="1"/>
    </xf>
    <xf numFmtId="0" fontId="26" fillId="33" borderId="10" xfId="0" applyFont="1" applyFill="1" applyBorder="1" applyAlignment="1">
      <alignment horizontal="justify" vertical="center" wrapText="1"/>
    </xf>
    <xf numFmtId="0" fontId="27" fillId="33" borderId="17" xfId="0" applyFont="1" applyFill="1" applyBorder="1" applyAlignment="1">
      <alignment vertical="center" wrapText="1"/>
    </xf>
    <xf numFmtId="0" fontId="26" fillId="33" borderId="0" xfId="0" applyFont="1" applyFill="1" applyBorder="1" applyAlignment="1">
      <alignment horizontal="justify" vertical="center" wrapText="1"/>
    </xf>
    <xf numFmtId="0" fontId="26" fillId="33" borderId="12" xfId="0" applyFont="1" applyFill="1" applyBorder="1" applyAlignment="1">
      <alignment horizontal="justify" vertical="center" wrapText="1"/>
    </xf>
    <xf numFmtId="0" fontId="26" fillId="33" borderId="17" xfId="0" applyFont="1" applyFill="1" applyBorder="1" applyAlignment="1">
      <alignment horizontal="justify" vertical="center" wrapText="1"/>
    </xf>
    <xf numFmtId="0" fontId="26" fillId="33" borderId="18" xfId="0" applyFont="1" applyFill="1" applyBorder="1" applyAlignment="1">
      <alignment horizontal="justify" vertical="center" wrapText="1"/>
    </xf>
    <xf numFmtId="0" fontId="27" fillId="33" borderId="12" xfId="0" applyFont="1" applyFill="1" applyBorder="1" applyAlignment="1">
      <alignment vertical="center" wrapText="1"/>
    </xf>
    <xf numFmtId="0" fontId="27" fillId="33" borderId="13" xfId="0" applyFont="1" applyFill="1" applyBorder="1" applyAlignment="1">
      <alignment vertical="center" wrapText="1"/>
    </xf>
    <xf numFmtId="0" fontId="26" fillId="33" borderId="19" xfId="0" applyFont="1" applyFill="1" applyBorder="1"/>
    <xf numFmtId="0" fontId="24" fillId="33" borderId="10" xfId="42" applyFont="1" applyFill="1" applyBorder="1" applyAlignment="1">
      <alignment horizontal="center"/>
    </xf>
    <xf numFmtId="0" fontId="25" fillId="33" borderId="10" xfId="42" applyFont="1" applyFill="1" applyBorder="1" applyAlignment="1">
      <alignment horizontal="center"/>
    </xf>
    <xf numFmtId="0" fontId="25" fillId="33" borderId="23" xfId="42" applyFont="1" applyFill="1" applyBorder="1"/>
    <xf numFmtId="1" fontId="25" fillId="33" borderId="23" xfId="42" applyNumberFormat="1" applyFont="1" applyFill="1" applyBorder="1"/>
    <xf numFmtId="1" fontId="25" fillId="33" borderId="12" xfId="42" applyNumberFormat="1" applyFont="1" applyFill="1" applyBorder="1"/>
    <xf numFmtId="0" fontId="24" fillId="33" borderId="0" xfId="0" applyFont="1" applyFill="1"/>
    <xf numFmtId="0" fontId="25" fillId="33" borderId="18" xfId="42" applyFont="1" applyFill="1" applyBorder="1"/>
    <xf numFmtId="1" fontId="25" fillId="33" borderId="18" xfId="42" applyNumberFormat="1" applyFont="1" applyFill="1" applyBorder="1"/>
    <xf numFmtId="0" fontId="27" fillId="33" borderId="18" xfId="0" applyFont="1" applyFill="1" applyBorder="1" applyAlignment="1">
      <alignment horizontal="left" vertical="center" wrapText="1"/>
    </xf>
    <xf numFmtId="0" fontId="27" fillId="33" borderId="17" xfId="0" applyFont="1" applyFill="1" applyBorder="1" applyAlignment="1">
      <alignment horizontal="left" vertical="center" wrapText="1"/>
    </xf>
    <xf numFmtId="0" fontId="26" fillId="33" borderId="13" xfId="0" applyFont="1" applyFill="1" applyBorder="1"/>
    <xf numFmtId="1" fontId="26" fillId="33" borderId="12" xfId="0" applyNumberFormat="1" applyFont="1" applyFill="1" applyBorder="1"/>
    <xf numFmtId="0" fontId="21" fillId="33" borderId="26" xfId="0" applyFont="1" applyFill="1" applyBorder="1"/>
    <xf numFmtId="0" fontId="21" fillId="33" borderId="0" xfId="0" applyFont="1" applyFill="1" applyBorder="1"/>
    <xf numFmtId="0" fontId="21" fillId="33" borderId="27" xfId="0" applyFont="1" applyFill="1" applyBorder="1"/>
    <xf numFmtId="0" fontId="26" fillId="33" borderId="0" xfId="0" applyFont="1" applyFill="1" applyAlignment="1">
      <alignment horizontal="left" vertical="top"/>
    </xf>
    <xf numFmtId="0" fontId="26" fillId="33" borderId="0" xfId="0" applyFont="1" applyFill="1" applyAlignment="1">
      <alignment vertical="top"/>
    </xf>
    <xf numFmtId="164" fontId="20" fillId="33" borderId="0" xfId="43" applyNumberFormat="1" applyFont="1" applyFill="1"/>
    <xf numFmtId="164" fontId="26" fillId="33" borderId="0" xfId="43" applyNumberFormat="1" applyFont="1" applyFill="1" applyBorder="1"/>
    <xf numFmtId="164" fontId="26" fillId="33" borderId="12" xfId="43" applyNumberFormat="1" applyFont="1" applyFill="1" applyBorder="1"/>
    <xf numFmtId="164" fontId="26" fillId="33" borderId="23" xfId="43" applyNumberFormat="1" applyFont="1" applyFill="1" applyBorder="1"/>
    <xf numFmtId="164" fontId="26" fillId="33" borderId="15" xfId="43" applyNumberFormat="1" applyFont="1" applyFill="1" applyBorder="1"/>
    <xf numFmtId="164" fontId="26" fillId="33" borderId="10" xfId="43" applyNumberFormat="1" applyFont="1" applyFill="1" applyBorder="1"/>
    <xf numFmtId="0" fontId="26" fillId="33" borderId="0" xfId="0" applyFont="1" applyFill="1"/>
    <xf numFmtId="0" fontId="26" fillId="33" borderId="23" xfId="42" applyFont="1" applyFill="1" applyBorder="1"/>
    <xf numFmtId="0" fontId="26" fillId="33" borderId="12" xfId="42" applyFont="1" applyFill="1" applyBorder="1"/>
    <xf numFmtId="0" fontId="27" fillId="33" borderId="0" xfId="0" applyFont="1" applyFill="1" applyBorder="1" applyAlignment="1">
      <alignment vertical="center" wrapText="1"/>
    </xf>
    <xf numFmtId="0" fontId="31" fillId="33" borderId="23" xfId="42" applyFont="1" applyFill="1" applyBorder="1"/>
    <xf numFmtId="0" fontId="31" fillId="33" borderId="12" xfId="42" applyFont="1" applyFill="1" applyBorder="1"/>
    <xf numFmtId="0" fontId="25" fillId="33" borderId="17" xfId="42" applyFont="1" applyFill="1" applyBorder="1" applyAlignment="1">
      <alignment horizontal="center"/>
    </xf>
    <xf numFmtId="1" fontId="25" fillId="33" borderId="19" xfId="42" applyNumberFormat="1" applyFont="1" applyFill="1" applyBorder="1"/>
    <xf numFmtId="1" fontId="25" fillId="33" borderId="13" xfId="42" applyNumberFormat="1" applyFont="1" applyFill="1" applyBorder="1"/>
    <xf numFmtId="0" fontId="23" fillId="33" borderId="20" xfId="42" applyFont="1" applyFill="1" applyBorder="1"/>
    <xf numFmtId="0" fontId="21" fillId="33" borderId="20" xfId="0" applyFont="1" applyFill="1" applyBorder="1"/>
    <xf numFmtId="0" fontId="26" fillId="33" borderId="10" xfId="0" applyFont="1" applyFill="1" applyBorder="1"/>
    <xf numFmtId="1" fontId="26" fillId="33" borderId="10" xfId="0" applyNumberFormat="1" applyFont="1" applyFill="1" applyBorder="1"/>
    <xf numFmtId="164" fontId="26" fillId="33" borderId="14" xfId="43" applyNumberFormat="1" applyFont="1" applyFill="1" applyBorder="1"/>
    <xf numFmtId="1" fontId="26" fillId="33" borderId="18" xfId="0" applyNumberFormat="1" applyFont="1" applyFill="1" applyBorder="1"/>
    <xf numFmtId="164" fontId="26" fillId="33" borderId="18" xfId="43" applyNumberFormat="1" applyFont="1" applyFill="1" applyBorder="1"/>
    <xf numFmtId="164" fontId="26" fillId="33" borderId="20" xfId="43" applyNumberFormat="1" applyFont="1" applyFill="1" applyBorder="1"/>
    <xf numFmtId="0" fontId="26" fillId="33" borderId="17" xfId="0" applyFont="1" applyFill="1" applyBorder="1"/>
    <xf numFmtId="164" fontId="26" fillId="33" borderId="25" xfId="43" applyNumberFormat="1" applyFont="1" applyFill="1" applyBorder="1"/>
    <xf numFmtId="0" fontId="26" fillId="33" borderId="18" xfId="0" applyFont="1" applyFill="1" applyBorder="1"/>
    <xf numFmtId="164" fontId="21" fillId="33" borderId="23" xfId="43" applyNumberFormat="1" applyFont="1" applyFill="1" applyBorder="1"/>
    <xf numFmtId="164" fontId="21" fillId="33" borderId="12" xfId="43" applyNumberFormat="1" applyFont="1" applyFill="1" applyBorder="1"/>
    <xf numFmtId="0" fontId="0" fillId="33" borderId="0" xfId="0" applyFill="1" applyBorder="1"/>
    <xf numFmtId="0" fontId="26" fillId="33" borderId="10"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6" fillId="33" borderId="18"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6" fillId="33" borderId="17" xfId="0" applyFont="1" applyFill="1" applyBorder="1" applyAlignment="1">
      <alignment horizontal="left" vertical="center" wrapText="1"/>
    </xf>
    <xf numFmtId="0" fontId="26" fillId="33" borderId="14" xfId="0" applyFont="1" applyFill="1" applyBorder="1" applyAlignment="1">
      <alignment horizontal="left" vertical="center" wrapText="1"/>
    </xf>
    <xf numFmtId="164" fontId="21" fillId="33" borderId="15" xfId="43" applyNumberFormat="1" applyFont="1" applyFill="1" applyBorder="1"/>
    <xf numFmtId="0" fontId="26" fillId="33" borderId="0" xfId="0" applyFont="1" applyFill="1" applyBorder="1"/>
    <xf numFmtId="1" fontId="26" fillId="33" borderId="0" xfId="0" applyNumberFormat="1" applyFont="1" applyFill="1" applyBorder="1"/>
    <xf numFmtId="164" fontId="26" fillId="33" borderId="19" xfId="43" applyNumberFormat="1" applyFont="1" applyFill="1" applyBorder="1"/>
    <xf numFmtId="0" fontId="26" fillId="33" borderId="18" xfId="0" applyFont="1" applyFill="1" applyBorder="1" applyAlignment="1">
      <alignment horizontal="left"/>
    </xf>
    <xf numFmtId="0" fontId="26" fillId="33" borderId="10" xfId="0" applyFont="1" applyFill="1" applyBorder="1" applyAlignment="1">
      <alignment horizontal="left"/>
    </xf>
    <xf numFmtId="0" fontId="26" fillId="33" borderId="12" xfId="0" applyFont="1" applyFill="1" applyBorder="1" applyAlignment="1">
      <alignment horizontal="left"/>
    </xf>
    <xf numFmtId="0" fontId="26" fillId="33" borderId="23" xfId="0" applyFont="1" applyFill="1" applyBorder="1" applyAlignment="1">
      <alignment horizontal="left"/>
    </xf>
    <xf numFmtId="0" fontId="27" fillId="33" borderId="0" xfId="0" applyFont="1" applyFill="1" applyAlignment="1">
      <alignment vertical="center" wrapText="1"/>
    </xf>
    <xf numFmtId="0" fontId="25" fillId="33" borderId="15" xfId="0" applyFont="1" applyFill="1" applyBorder="1"/>
    <xf numFmtId="0" fontId="0" fillId="33" borderId="0" xfId="0" applyFill="1"/>
    <xf numFmtId="0" fontId="27" fillId="33" borderId="0" xfId="0" applyFont="1" applyFill="1" applyAlignment="1">
      <alignment vertical="center"/>
    </xf>
    <xf numFmtId="0" fontId="26" fillId="33" borderId="18" xfId="0" applyFont="1" applyFill="1" applyBorder="1"/>
    <xf numFmtId="0" fontId="26" fillId="33" borderId="23" xfId="0" applyFont="1" applyFill="1" applyBorder="1"/>
    <xf numFmtId="1" fontId="26" fillId="33" borderId="23" xfId="0" applyNumberFormat="1" applyFont="1" applyFill="1" applyBorder="1"/>
    <xf numFmtId="0" fontId="26" fillId="33" borderId="12" xfId="0" applyFont="1" applyFill="1" applyBorder="1"/>
    <xf numFmtId="1" fontId="26" fillId="33" borderId="12" xfId="0" applyNumberFormat="1" applyFont="1" applyFill="1" applyBorder="1"/>
    <xf numFmtId="0" fontId="27" fillId="33" borderId="0" xfId="0" applyFont="1" applyFill="1" applyAlignment="1">
      <alignment vertical="center"/>
    </xf>
    <xf numFmtId="0" fontId="26" fillId="33" borderId="0" xfId="0" applyFont="1" applyFill="1"/>
    <xf numFmtId="0" fontId="26" fillId="33" borderId="0" xfId="0" applyFont="1" applyFill="1"/>
    <xf numFmtId="0" fontId="27" fillId="33" borderId="0" xfId="0" applyFont="1" applyFill="1" applyAlignment="1">
      <alignment vertical="center"/>
    </xf>
    <xf numFmtId="0" fontId="27" fillId="33" borderId="18" xfId="0" applyFont="1" applyFill="1" applyBorder="1" applyAlignment="1">
      <alignment vertical="center" wrapText="1"/>
    </xf>
    <xf numFmtId="0" fontId="26" fillId="33" borderId="0" xfId="0" applyFont="1" applyFill="1" applyAlignment="1">
      <alignment vertical="center"/>
    </xf>
    <xf numFmtId="0" fontId="31" fillId="33" borderId="0" xfId="42" applyFont="1" applyFill="1" applyBorder="1"/>
    <xf numFmtId="1" fontId="25" fillId="33" borderId="0" xfId="42" applyNumberFormat="1" applyFont="1" applyFill="1" applyBorder="1"/>
    <xf numFmtId="164" fontId="21" fillId="33" borderId="0" xfId="43" applyNumberFormat="1" applyFont="1" applyFill="1" applyBorder="1"/>
    <xf numFmtId="0" fontId="26" fillId="33" borderId="0" xfId="0" applyFont="1" applyFill="1" applyBorder="1" applyAlignment="1">
      <alignment horizontal="left" vertical="center" wrapText="1"/>
    </xf>
    <xf numFmtId="0" fontId="26" fillId="33" borderId="0" xfId="0" applyFont="1" applyFill="1" applyBorder="1" applyAlignment="1">
      <alignment horizontal="left"/>
    </xf>
    <xf numFmtId="0" fontId="37" fillId="33" borderId="0" xfId="0" applyFont="1" applyFill="1" applyAlignment="1">
      <alignment horizontal="right"/>
    </xf>
    <xf numFmtId="0" fontId="26" fillId="33" borderId="0" xfId="0" applyFont="1" applyFill="1"/>
    <xf numFmtId="0" fontId="27" fillId="33" borderId="0" xfId="0" applyFont="1" applyFill="1" applyBorder="1" applyAlignment="1">
      <alignment vertical="center" wrapText="1"/>
    </xf>
    <xf numFmtId="0" fontId="27" fillId="33" borderId="0" xfId="0" applyFont="1" applyFill="1" applyAlignment="1">
      <alignment vertical="center" wrapText="1"/>
    </xf>
    <xf numFmtId="0" fontId="27" fillId="33" borderId="0" xfId="0" applyFont="1" applyFill="1" applyAlignment="1">
      <alignment horizontal="left" vertical="center" wrapText="1"/>
    </xf>
    <xf numFmtId="0" fontId="27" fillId="33" borderId="0" xfId="0" applyFont="1" applyFill="1" applyAlignment="1">
      <alignment horizontal="left" vertical="center"/>
    </xf>
    <xf numFmtId="0" fontId="26" fillId="33" borderId="0" xfId="0" applyFont="1" applyFill="1" applyAlignment="1">
      <alignment horizontal="left" vertical="center"/>
    </xf>
    <xf numFmtId="0" fontId="30" fillId="33" borderId="0" xfId="0" applyFont="1" applyFill="1" applyAlignment="1">
      <alignment vertical="center" wrapText="1"/>
    </xf>
    <xf numFmtId="0" fontId="38" fillId="33" borderId="0" xfId="0" applyFont="1" applyFill="1" applyAlignment="1">
      <alignment vertical="center"/>
    </xf>
    <xf numFmtId="0" fontId="27" fillId="33" borderId="0" xfId="0" applyFont="1" applyFill="1" applyAlignment="1">
      <alignment vertical="center"/>
    </xf>
    <xf numFmtId="0" fontId="26" fillId="33" borderId="0" xfId="0" applyFont="1" applyFill="1" applyAlignment="1">
      <alignment vertical="center"/>
    </xf>
    <xf numFmtId="0" fontId="26" fillId="33" borderId="0" xfId="0" applyFont="1" applyFill="1" applyAlignment="1">
      <alignment horizontal="left" vertical="top" wrapText="1"/>
    </xf>
    <xf numFmtId="0" fontId="26" fillId="33" borderId="0" xfId="0" applyFont="1" applyFill="1" applyAlignment="1">
      <alignment horizontal="left" vertical="top"/>
    </xf>
    <xf numFmtId="0" fontId="27" fillId="33" borderId="18" xfId="0" applyFont="1" applyFill="1" applyBorder="1" applyAlignment="1">
      <alignment horizontal="center" vertical="center" wrapText="1"/>
    </xf>
    <xf numFmtId="0" fontId="27" fillId="33" borderId="23" xfId="0" applyFont="1" applyFill="1" applyBorder="1" applyAlignment="1">
      <alignment horizontal="center" vertical="center"/>
    </xf>
    <xf numFmtId="0" fontId="27" fillId="33" borderId="12" xfId="0" applyFont="1" applyFill="1" applyBorder="1" applyAlignment="1">
      <alignment horizontal="center" vertical="center"/>
    </xf>
    <xf numFmtId="0" fontId="24" fillId="33" borderId="21" xfId="42" applyFont="1" applyFill="1" applyBorder="1" applyAlignment="1">
      <alignment horizontal="center" vertical="center"/>
    </xf>
    <xf numFmtId="0" fontId="24" fillId="33" borderId="19" xfId="42" applyFont="1" applyFill="1" applyBorder="1" applyAlignment="1">
      <alignment horizontal="center" vertical="center"/>
    </xf>
    <xf numFmtId="0" fontId="27" fillId="33" borderId="16" xfId="0" applyFont="1" applyFill="1" applyBorder="1" applyAlignment="1">
      <alignment horizontal="center" vertical="center" wrapText="1"/>
    </xf>
    <xf numFmtId="0" fontId="27" fillId="33" borderId="15" xfId="0" applyFont="1" applyFill="1" applyBorder="1" applyAlignment="1">
      <alignment horizontal="center" vertical="center"/>
    </xf>
    <xf numFmtId="0" fontId="26" fillId="33" borderId="0" xfId="0" applyFont="1" applyFill="1" applyBorder="1" applyAlignment="1">
      <alignment vertical="center" wrapText="1"/>
    </xf>
    <xf numFmtId="0" fontId="26" fillId="33" borderId="0" xfId="0" applyFont="1" applyFill="1" applyAlignment="1">
      <alignment vertical="center" wrapText="1"/>
    </xf>
    <xf numFmtId="0" fontId="21" fillId="33" borderId="0" xfId="0" applyFont="1" applyFill="1" applyAlignment="1">
      <alignment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Milliers" xfId="43" builtinId="3"/>
    <cellStyle name="Neutre" xfId="8" builtinId="28" customBuiltin="1"/>
    <cellStyle name="Normal" xfId="0" builtinId="0"/>
    <cellStyle name="Normal 2"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183173</xdr:colOff>
      <xdr:row>23</xdr:row>
      <xdr:rowOff>43962</xdr:rowOff>
    </xdr:from>
    <xdr:ext cx="184731" cy="264560"/>
    <xdr:sp macro="" textlink="">
      <xdr:nvSpPr>
        <xdr:cNvPr id="7" name="ZoneTexte 6"/>
        <xdr:cNvSpPr txBox="1"/>
      </xdr:nvSpPr>
      <xdr:spPr>
        <a:xfrm>
          <a:off x="19899923" y="52460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topLeftCell="A4" zoomScale="96" zoomScaleNormal="96" workbookViewId="0">
      <selection activeCell="B20" sqref="B20:G20"/>
    </sheetView>
  </sheetViews>
  <sheetFormatPr baseColWidth="10" defaultRowHeight="12.75" x14ac:dyDescent="0.25"/>
  <cols>
    <col min="1" max="1" width="3.7109375" style="26" customWidth="1"/>
    <col min="2" max="2" width="38.42578125" style="26" customWidth="1"/>
    <col min="3" max="3" width="21.140625" style="26" customWidth="1"/>
    <col min="4" max="4" width="22.140625" style="26" customWidth="1"/>
    <col min="5" max="5" width="23.85546875" style="26" customWidth="1"/>
    <col min="6" max="6" width="21" style="26" customWidth="1"/>
    <col min="7" max="7" width="22.42578125" style="26" customWidth="1"/>
    <col min="8" max="8" width="27.7109375" style="26" customWidth="1"/>
    <col min="9" max="9" width="22.7109375" style="26" customWidth="1"/>
    <col min="10" max="10" width="23.42578125" style="26" customWidth="1"/>
    <col min="11" max="11" width="21.42578125" style="26" customWidth="1"/>
    <col min="12" max="16384" width="11.42578125" style="26"/>
  </cols>
  <sheetData>
    <row r="1" spans="2:7" s="35" customFormat="1" ht="15" customHeight="1" x14ac:dyDescent="0.25">
      <c r="B1" s="35" t="s">
        <v>96</v>
      </c>
    </row>
    <row r="3" spans="2:7" ht="63" customHeight="1" x14ac:dyDescent="0.25">
      <c r="B3" s="39" t="s">
        <v>14</v>
      </c>
      <c r="C3" s="61" t="s">
        <v>76</v>
      </c>
      <c r="D3" s="61" t="s">
        <v>77</v>
      </c>
      <c r="E3" s="60" t="s">
        <v>78</v>
      </c>
      <c r="F3" s="60" t="s">
        <v>79</v>
      </c>
      <c r="G3" s="60" t="s">
        <v>80</v>
      </c>
    </row>
    <row r="4" spans="2:7" x14ac:dyDescent="0.25">
      <c r="B4" s="40" t="s">
        <v>10</v>
      </c>
      <c r="C4" s="98">
        <v>16</v>
      </c>
      <c r="D4" s="43">
        <v>86</v>
      </c>
      <c r="E4" s="43">
        <v>477</v>
      </c>
      <c r="F4" s="108">
        <v>66</v>
      </c>
      <c r="G4" s="94">
        <v>49</v>
      </c>
    </row>
    <row r="5" spans="2:7" x14ac:dyDescent="0.25">
      <c r="B5" s="40" t="s">
        <v>28</v>
      </c>
      <c r="C5" s="99">
        <v>4.5999999999999996</v>
      </c>
      <c r="D5" s="46">
        <v>83</v>
      </c>
      <c r="E5" s="43">
        <v>143</v>
      </c>
      <c r="F5" s="109">
        <v>32</v>
      </c>
      <c r="G5" s="94">
        <v>20</v>
      </c>
    </row>
    <row r="6" spans="2:7" x14ac:dyDescent="0.25">
      <c r="B6" s="40" t="s">
        <v>12</v>
      </c>
      <c r="C6" s="100">
        <v>7.6</v>
      </c>
      <c r="D6" s="48">
        <v>75</v>
      </c>
      <c r="E6" s="43">
        <v>292</v>
      </c>
      <c r="F6" s="110">
        <v>41</v>
      </c>
      <c r="G6" s="86">
        <v>29</v>
      </c>
    </row>
    <row r="7" spans="2:7" x14ac:dyDescent="0.25">
      <c r="B7" s="40" t="s">
        <v>37</v>
      </c>
      <c r="C7" s="98">
        <v>2.7</v>
      </c>
      <c r="D7" s="43">
        <v>49</v>
      </c>
      <c r="E7" s="47">
        <v>141</v>
      </c>
      <c r="F7" s="111">
        <v>38</v>
      </c>
      <c r="G7" s="86">
        <v>23</v>
      </c>
    </row>
    <row r="8" spans="2:7" ht="20.25" customHeight="1" x14ac:dyDescent="0.25">
      <c r="B8" s="49" t="s">
        <v>7</v>
      </c>
      <c r="C8" s="99">
        <v>2.5</v>
      </c>
      <c r="D8" s="43">
        <v>41</v>
      </c>
      <c r="E8" s="45">
        <v>160</v>
      </c>
      <c r="F8" s="109">
        <v>47</v>
      </c>
      <c r="G8" s="86">
        <v>25</v>
      </c>
    </row>
    <row r="9" spans="2:7" x14ac:dyDescent="0.25">
      <c r="B9" s="40" t="s">
        <v>20</v>
      </c>
      <c r="C9" s="101">
        <v>8.1</v>
      </c>
      <c r="D9" s="42">
        <v>41</v>
      </c>
      <c r="E9" s="47">
        <v>319</v>
      </c>
      <c r="F9" s="111">
        <v>50</v>
      </c>
      <c r="G9" s="94">
        <v>21</v>
      </c>
    </row>
    <row r="10" spans="2:7" ht="15" customHeight="1" x14ac:dyDescent="0.25">
      <c r="B10" s="125" t="s">
        <v>103</v>
      </c>
      <c r="C10" s="98">
        <v>4.8</v>
      </c>
      <c r="D10" s="43">
        <v>38</v>
      </c>
      <c r="E10" s="46">
        <v>325</v>
      </c>
      <c r="F10" s="109">
        <v>66</v>
      </c>
      <c r="G10" s="86">
        <v>38</v>
      </c>
    </row>
    <row r="11" spans="2:7" ht="18" customHeight="1" x14ac:dyDescent="0.25">
      <c r="B11" s="44" t="s">
        <v>21</v>
      </c>
      <c r="C11" s="102">
        <v>43.7</v>
      </c>
      <c r="D11" s="43">
        <v>25</v>
      </c>
      <c r="E11" s="43" t="s">
        <v>22</v>
      </c>
      <c r="F11" s="111">
        <v>67</v>
      </c>
      <c r="G11" s="33">
        <v>34</v>
      </c>
    </row>
    <row r="12" spans="2:7" x14ac:dyDescent="0.25">
      <c r="B12" s="40" t="s">
        <v>8</v>
      </c>
      <c r="C12" s="98">
        <v>3.3</v>
      </c>
      <c r="D12" s="43">
        <v>20</v>
      </c>
      <c r="E12" s="43">
        <v>424</v>
      </c>
      <c r="F12" s="109">
        <v>22</v>
      </c>
      <c r="G12" s="94">
        <v>15</v>
      </c>
    </row>
    <row r="13" spans="2:7" ht="25.5" x14ac:dyDescent="0.25">
      <c r="B13" s="49" t="s">
        <v>34</v>
      </c>
      <c r="C13" s="98">
        <v>3.4</v>
      </c>
      <c r="D13" s="43">
        <v>9</v>
      </c>
      <c r="E13" s="43">
        <v>987</v>
      </c>
      <c r="F13" s="111">
        <v>35</v>
      </c>
      <c r="G13" s="86">
        <v>22</v>
      </c>
    </row>
    <row r="14" spans="2:7" x14ac:dyDescent="0.25">
      <c r="B14" s="50" t="s">
        <v>23</v>
      </c>
      <c r="C14" s="101">
        <v>2.6</v>
      </c>
      <c r="D14" s="47">
        <v>8</v>
      </c>
      <c r="E14" s="47">
        <v>825</v>
      </c>
      <c r="F14" s="109">
        <v>63</v>
      </c>
      <c r="G14" s="86">
        <v>36</v>
      </c>
    </row>
    <row r="15" spans="2:7" x14ac:dyDescent="0.25">
      <c r="B15" s="40" t="s">
        <v>24</v>
      </c>
      <c r="C15" s="103">
        <v>0.8</v>
      </c>
      <c r="D15" s="41">
        <v>2</v>
      </c>
      <c r="E15" s="43">
        <v>973</v>
      </c>
      <c r="F15" s="109">
        <v>39</v>
      </c>
      <c r="G15" s="33">
        <v>13</v>
      </c>
    </row>
    <row r="16" spans="2:7" x14ac:dyDescent="0.25">
      <c r="B16" s="40" t="s">
        <v>11</v>
      </c>
      <c r="C16" s="98">
        <v>100</v>
      </c>
      <c r="D16" s="43">
        <v>95</v>
      </c>
      <c r="E16" s="41" t="s">
        <v>19</v>
      </c>
      <c r="F16" s="109">
        <v>65</v>
      </c>
      <c r="G16" s="33">
        <v>39</v>
      </c>
    </row>
    <row r="17" spans="2:7" s="123" customFormat="1" ht="8.25" customHeight="1" x14ac:dyDescent="0.25">
      <c r="B17" s="78"/>
      <c r="C17" s="130"/>
      <c r="D17" s="45"/>
      <c r="E17" s="45"/>
      <c r="F17" s="131"/>
      <c r="G17" s="105"/>
    </row>
    <row r="18" spans="2:7" s="133" customFormat="1" ht="21" customHeight="1" x14ac:dyDescent="0.25">
      <c r="B18" s="152" t="s">
        <v>101</v>
      </c>
      <c r="C18" s="134"/>
      <c r="D18" s="134"/>
      <c r="E18" s="134"/>
      <c r="F18" s="134"/>
      <c r="G18" s="134"/>
    </row>
    <row r="19" spans="2:7" s="75" customFormat="1" ht="28.5" customHeight="1" x14ac:dyDescent="0.25">
      <c r="B19" s="134" t="s">
        <v>102</v>
      </c>
      <c r="C19" s="134"/>
      <c r="D19" s="134"/>
      <c r="E19" s="134"/>
      <c r="F19" s="134"/>
      <c r="G19" s="134"/>
    </row>
    <row r="20" spans="2:7" s="35" customFormat="1" ht="41.25" customHeight="1" x14ac:dyDescent="0.25">
      <c r="B20" s="135" t="s">
        <v>104</v>
      </c>
      <c r="C20" s="135"/>
      <c r="D20" s="135"/>
      <c r="E20" s="135"/>
      <c r="F20" s="135"/>
      <c r="G20" s="135"/>
    </row>
    <row r="21" spans="2:7" s="35" customFormat="1" ht="30" customHeight="1" x14ac:dyDescent="0.25">
      <c r="B21" s="135" t="s">
        <v>74</v>
      </c>
      <c r="C21" s="135"/>
      <c r="D21" s="135"/>
      <c r="E21" s="135"/>
      <c r="F21" s="135"/>
      <c r="G21" s="135"/>
    </row>
    <row r="22" spans="2:7" s="35" customFormat="1" ht="23.25" customHeight="1" x14ac:dyDescent="0.25">
      <c r="B22" s="135" t="s">
        <v>85</v>
      </c>
      <c r="C22" s="135"/>
      <c r="D22" s="135"/>
      <c r="E22" s="135"/>
      <c r="F22" s="135"/>
      <c r="G22" s="135"/>
    </row>
  </sheetData>
  <sortState ref="B4:G15">
    <sortCondition descending="1" ref="D4:D15"/>
  </sortState>
  <customSheetViews>
    <customSheetView guid="{6A2E9D47-DC67-47D5-B0E5-D5F68BC84AAF}" scale="90">
      <selection activeCell="B18" sqref="B18:F18"/>
      <pageMargins left="0.7" right="0.7" top="0.75" bottom="0.75" header="0.3" footer="0.3"/>
      <pageSetup paperSize="9" orientation="portrait" r:id="rId1"/>
    </customSheetView>
  </customSheetViews>
  <mergeCells count="5">
    <mergeCell ref="B19:G19"/>
    <mergeCell ref="B20:G20"/>
    <mergeCell ref="B21:G21"/>
    <mergeCell ref="B22:G22"/>
    <mergeCell ref="B18:G18"/>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2"/>
  <sheetViews>
    <sheetView topLeftCell="A11" zoomScale="106" zoomScaleNormal="106" workbookViewId="0">
      <selection activeCell="C38" sqref="C38"/>
    </sheetView>
  </sheetViews>
  <sheetFormatPr baseColWidth="10" defaultRowHeight="12.75" x14ac:dyDescent="0.25"/>
  <cols>
    <col min="1" max="1" width="2.85546875" style="26" customWidth="1"/>
    <col min="2" max="2" width="15" style="26" customWidth="1"/>
    <col min="3" max="3" width="39.5703125" style="26" customWidth="1"/>
    <col min="4" max="4" width="42.5703125" style="26" customWidth="1"/>
    <col min="5" max="16384" width="11.42578125" style="26"/>
  </cols>
  <sheetData>
    <row r="1" spans="2:4" x14ac:dyDescent="0.25">
      <c r="B1" s="124" t="s">
        <v>97</v>
      </c>
      <c r="C1" s="126"/>
    </row>
    <row r="2" spans="2:4" ht="12" customHeight="1" x14ac:dyDescent="0.25"/>
    <row r="3" spans="2:4" s="122" customFormat="1" ht="16.5" customHeight="1" x14ac:dyDescent="0.25">
      <c r="B3" s="27" t="s">
        <v>82</v>
      </c>
    </row>
    <row r="4" spans="2:4" s="122" customFormat="1" ht="6.75" customHeight="1" x14ac:dyDescent="0.25"/>
    <row r="5" spans="2:4" x14ac:dyDescent="0.25">
      <c r="B5" s="28" t="s">
        <v>35</v>
      </c>
      <c r="C5" s="29" t="s">
        <v>13</v>
      </c>
      <c r="D5" s="30" t="s">
        <v>98</v>
      </c>
    </row>
    <row r="6" spans="2:4" x14ac:dyDescent="0.25">
      <c r="B6" s="31" t="s">
        <v>41</v>
      </c>
      <c r="C6" s="32">
        <v>15</v>
      </c>
      <c r="D6" s="32">
        <v>2581</v>
      </c>
    </row>
    <row r="7" spans="2:4" x14ac:dyDescent="0.25">
      <c r="B7" s="31" t="s">
        <v>0</v>
      </c>
      <c r="C7" s="32">
        <v>15</v>
      </c>
      <c r="D7" s="32">
        <v>2313</v>
      </c>
    </row>
    <row r="8" spans="2:4" x14ac:dyDescent="0.25">
      <c r="B8" s="31" t="s">
        <v>1</v>
      </c>
      <c r="C8" s="32">
        <v>21</v>
      </c>
      <c r="D8" s="32">
        <v>2555</v>
      </c>
    </row>
    <row r="9" spans="2:4" x14ac:dyDescent="0.25">
      <c r="B9" s="31" t="s">
        <v>2</v>
      </c>
      <c r="C9" s="32">
        <v>24</v>
      </c>
      <c r="D9" s="32">
        <v>2753</v>
      </c>
    </row>
    <row r="10" spans="2:4" x14ac:dyDescent="0.25">
      <c r="B10" s="31" t="s">
        <v>3</v>
      </c>
      <c r="C10" s="32">
        <v>24</v>
      </c>
      <c r="D10" s="32">
        <v>3306</v>
      </c>
    </row>
    <row r="11" spans="2:4" x14ac:dyDescent="0.25">
      <c r="B11" s="31" t="s">
        <v>4</v>
      </c>
      <c r="C11" s="32">
        <v>28</v>
      </c>
      <c r="D11" s="32">
        <v>4194</v>
      </c>
    </row>
    <row r="12" spans="2:4" x14ac:dyDescent="0.25">
      <c r="B12" s="31" t="s">
        <v>5</v>
      </c>
      <c r="C12" s="32">
        <v>33</v>
      </c>
      <c r="D12" s="32">
        <v>5293</v>
      </c>
    </row>
    <row r="13" spans="2:4" x14ac:dyDescent="0.25">
      <c r="B13" s="31" t="s">
        <v>6</v>
      </c>
      <c r="C13" s="32">
        <v>41</v>
      </c>
      <c r="D13" s="32">
        <v>6582</v>
      </c>
    </row>
    <row r="14" spans="2:4" x14ac:dyDescent="0.25">
      <c r="B14" s="33" t="s">
        <v>89</v>
      </c>
      <c r="C14" s="34">
        <v>45</v>
      </c>
      <c r="D14" s="34">
        <v>9011</v>
      </c>
    </row>
    <row r="16" spans="2:4" s="27" customFormat="1" ht="17.25" customHeight="1" x14ac:dyDescent="0.25">
      <c r="B16" s="27" t="s">
        <v>81</v>
      </c>
    </row>
    <row r="17" spans="2:4" s="27" customFormat="1" ht="5.25" customHeight="1" x14ac:dyDescent="0.25"/>
    <row r="18" spans="2:4" x14ac:dyDescent="0.25">
      <c r="B18" s="28" t="s">
        <v>35</v>
      </c>
      <c r="C18" s="29" t="s">
        <v>13</v>
      </c>
      <c r="D18" s="30" t="s">
        <v>98</v>
      </c>
    </row>
    <row r="19" spans="2:4" x14ac:dyDescent="0.25">
      <c r="B19" s="31" t="s">
        <v>41</v>
      </c>
      <c r="C19" s="15">
        <v>0.115173984693621</v>
      </c>
      <c r="D19" s="32">
        <v>1366</v>
      </c>
    </row>
    <row r="20" spans="2:4" x14ac:dyDescent="0.25">
      <c r="B20" s="31" t="s">
        <v>0</v>
      </c>
      <c r="C20" s="19">
        <v>0.142235334270742</v>
      </c>
      <c r="D20" s="32">
        <v>1534</v>
      </c>
    </row>
    <row r="21" spans="2:4" x14ac:dyDescent="0.25">
      <c r="B21" s="31" t="s">
        <v>1</v>
      </c>
      <c r="C21" s="19">
        <v>8.9955859894238197E-2</v>
      </c>
      <c r="D21" s="32">
        <v>1090</v>
      </c>
    </row>
    <row r="22" spans="2:4" x14ac:dyDescent="0.25">
      <c r="B22" s="31" t="s">
        <v>2</v>
      </c>
      <c r="C22" s="19">
        <v>0.15288244735244899</v>
      </c>
      <c r="D22" s="32">
        <v>1187</v>
      </c>
    </row>
    <row r="23" spans="2:4" x14ac:dyDescent="0.25">
      <c r="B23" s="31" t="s">
        <v>3</v>
      </c>
      <c r="C23" s="19">
        <v>0.33992701985648099</v>
      </c>
      <c r="D23" s="32">
        <v>1140</v>
      </c>
    </row>
    <row r="24" spans="2:4" x14ac:dyDescent="0.25">
      <c r="B24" s="31" t="s">
        <v>4</v>
      </c>
      <c r="C24" s="32">
        <v>1</v>
      </c>
      <c r="D24" s="32">
        <v>1143</v>
      </c>
    </row>
    <row r="25" spans="2:4" x14ac:dyDescent="0.25">
      <c r="B25" s="31" t="s">
        <v>5</v>
      </c>
      <c r="C25" s="32">
        <v>3</v>
      </c>
      <c r="D25" s="32">
        <v>982</v>
      </c>
    </row>
    <row r="26" spans="2:4" x14ac:dyDescent="0.25">
      <c r="B26" s="31" t="s">
        <v>6</v>
      </c>
      <c r="C26" s="32">
        <v>7</v>
      </c>
      <c r="D26" s="32">
        <v>963</v>
      </c>
    </row>
    <row r="27" spans="2:4" x14ac:dyDescent="0.25">
      <c r="B27" s="33" t="s">
        <v>89</v>
      </c>
      <c r="C27" s="34">
        <v>12</v>
      </c>
      <c r="D27" s="34">
        <v>908</v>
      </c>
    </row>
    <row r="28" spans="2:4" s="122" customFormat="1" x14ac:dyDescent="0.25">
      <c r="B28" s="105"/>
      <c r="C28" s="105"/>
      <c r="D28" s="105"/>
    </row>
    <row r="29" spans="2:4" ht="17.25" customHeight="1" x14ac:dyDescent="0.25">
      <c r="B29" s="138" t="s">
        <v>105</v>
      </c>
      <c r="C29" s="138"/>
      <c r="D29" s="138"/>
    </row>
    <row r="30" spans="2:4" ht="34.5" customHeight="1" x14ac:dyDescent="0.25">
      <c r="B30" s="136" t="s">
        <v>106</v>
      </c>
      <c r="C30" s="137"/>
      <c r="D30" s="137"/>
    </row>
    <row r="31" spans="2:4" ht="45.75" customHeight="1" x14ac:dyDescent="0.25">
      <c r="B31" s="136" t="s">
        <v>83</v>
      </c>
      <c r="C31" s="137"/>
      <c r="D31" s="137"/>
    </row>
    <row r="32" spans="2:4" ht="31.5" customHeight="1" x14ac:dyDescent="0.25">
      <c r="B32" s="136" t="s">
        <v>65</v>
      </c>
      <c r="C32" s="137"/>
      <c r="D32" s="137"/>
    </row>
  </sheetData>
  <customSheetViews>
    <customSheetView guid="{6A2E9D47-DC67-47D5-B0E5-D5F68BC84AAF}" scale="118" topLeftCell="A18">
      <selection activeCell="E31" sqref="E31"/>
      <pageMargins left="0.7" right="0.7" top="0.75" bottom="0.75" header="0.3" footer="0.3"/>
      <pageSetup paperSize="9" orientation="portrait" r:id="rId1"/>
    </customSheetView>
  </customSheetViews>
  <mergeCells count="4">
    <mergeCell ref="B31:D31"/>
    <mergeCell ref="B32:D32"/>
    <mergeCell ref="B30:D30"/>
    <mergeCell ref="B29:D29"/>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60"/>
  <sheetViews>
    <sheetView topLeftCell="A16" zoomScale="93" zoomScaleNormal="93" workbookViewId="0">
      <selection activeCell="B40" sqref="B40:F40"/>
    </sheetView>
  </sheetViews>
  <sheetFormatPr baseColWidth="10" defaultRowHeight="11.25" x14ac:dyDescent="0.2"/>
  <cols>
    <col min="1" max="1" width="4.5703125" style="7" customWidth="1"/>
    <col min="2" max="2" width="68.42578125" style="7" customWidth="1"/>
    <col min="3" max="3" width="30" style="7" customWidth="1"/>
    <col min="4" max="4" width="37.42578125" style="7" customWidth="1"/>
    <col min="5" max="5" width="31" style="7" customWidth="1"/>
    <col min="6" max="6" width="28" style="7" customWidth="1"/>
    <col min="7" max="7" width="44" style="7" customWidth="1"/>
    <col min="8" max="8" width="34.28515625" style="7" customWidth="1"/>
    <col min="9" max="16384" width="11.42578125" style="7"/>
  </cols>
  <sheetData>
    <row r="1" spans="1:11" s="6" customFormat="1" ht="30.75" customHeight="1" x14ac:dyDescent="0.2">
      <c r="A1" s="6" t="s">
        <v>95</v>
      </c>
      <c r="B1" s="135" t="s">
        <v>107</v>
      </c>
      <c r="C1" s="141"/>
      <c r="D1" s="141"/>
      <c r="E1" s="141"/>
      <c r="F1" s="141"/>
      <c r="G1" s="121"/>
      <c r="H1" s="1"/>
      <c r="I1" s="1"/>
      <c r="J1" s="1"/>
      <c r="K1" s="1"/>
    </row>
    <row r="2" spans="1:11" ht="20.25" customHeight="1" x14ac:dyDescent="0.25">
      <c r="B2" s="27" t="s">
        <v>86</v>
      </c>
    </row>
    <row r="3" spans="1:11" ht="6.75" customHeight="1" x14ac:dyDescent="0.2">
      <c r="B3" s="6"/>
    </row>
    <row r="4" spans="1:11" ht="12.75" x14ac:dyDescent="0.2">
      <c r="B4" s="36" t="s">
        <v>14</v>
      </c>
      <c r="C4" s="29" t="s">
        <v>39</v>
      </c>
      <c r="D4" s="37" t="s">
        <v>108</v>
      </c>
      <c r="E4" s="29" t="s">
        <v>15</v>
      </c>
      <c r="F4" s="30" t="s">
        <v>16</v>
      </c>
      <c r="G4" s="29" t="s">
        <v>72</v>
      </c>
    </row>
    <row r="5" spans="1:11" ht="12.75" x14ac:dyDescent="0.25">
      <c r="B5" s="94" t="s">
        <v>7</v>
      </c>
      <c r="C5" s="89">
        <v>139</v>
      </c>
      <c r="D5" s="90">
        <f>100*0.708606871355131</f>
        <v>70.860687135513103</v>
      </c>
      <c r="E5" s="90">
        <f>100*0.182670315167755</f>
        <v>18.2670315167755</v>
      </c>
      <c r="F5" s="72">
        <f>100*0.108722813477114</f>
        <v>10.8722813477114</v>
      </c>
      <c r="G5" s="72">
        <v>17</v>
      </c>
    </row>
    <row r="6" spans="1:11" ht="12.75" x14ac:dyDescent="0.25">
      <c r="B6" s="51" t="s">
        <v>37</v>
      </c>
      <c r="C6" s="38">
        <v>199</v>
      </c>
      <c r="D6" s="72">
        <f>100*0.844384593086184</f>
        <v>84.438459308618391</v>
      </c>
      <c r="E6" s="72">
        <f>100*0.155571066154829</f>
        <v>15.557106615482899</v>
      </c>
      <c r="F6" s="72">
        <f>100*0.0000443407589876916</f>
        <v>4.4340758987691598E-3</v>
      </c>
      <c r="G6" s="72">
        <v>30</v>
      </c>
    </row>
    <row r="7" spans="1:11" ht="12.75" x14ac:dyDescent="0.25">
      <c r="B7" s="51" t="s">
        <v>28</v>
      </c>
      <c r="C7" s="38">
        <v>227</v>
      </c>
      <c r="D7" s="70">
        <f>100*0.89741067329424</f>
        <v>89.741067329423998</v>
      </c>
      <c r="E7" s="72">
        <f>100*0.0801699799395297</f>
        <v>8.0169979939529714</v>
      </c>
      <c r="F7" s="72">
        <f>100*0.0224193467662299</f>
        <v>2.2419346766229897</v>
      </c>
      <c r="G7" s="72">
        <v>20</v>
      </c>
    </row>
    <row r="8" spans="1:11" ht="12.75" x14ac:dyDescent="0.25">
      <c r="B8" s="51" t="s">
        <v>20</v>
      </c>
      <c r="C8" s="38">
        <v>358</v>
      </c>
      <c r="D8" s="70">
        <f>100*0.946404176793516</f>
        <v>94.6404176793516</v>
      </c>
      <c r="E8" s="72">
        <f>100*0.0508372845150177</f>
        <v>5.08372845150177</v>
      </c>
      <c r="F8" s="72">
        <f>100*0.00275853869146624</f>
        <v>0.27585386914662396</v>
      </c>
      <c r="G8" s="72">
        <v>30</v>
      </c>
    </row>
    <row r="9" spans="1:11" ht="12.75" x14ac:dyDescent="0.25">
      <c r="B9" s="51" t="s">
        <v>8</v>
      </c>
      <c r="C9" s="38">
        <v>464</v>
      </c>
      <c r="D9" s="70">
        <f>100*0.0381347168508896</f>
        <v>3.8134716850889601</v>
      </c>
      <c r="E9" s="72">
        <f>100*0.014150933655822</f>
        <v>1.4150933655822</v>
      </c>
      <c r="F9" s="72">
        <f>100*0.947714349493288</f>
        <v>94.771434949328807</v>
      </c>
      <c r="G9" s="72">
        <v>19</v>
      </c>
    </row>
    <row r="10" spans="1:11" ht="12.75" x14ac:dyDescent="0.25">
      <c r="B10" s="51" t="s">
        <v>12</v>
      </c>
      <c r="C10" s="38">
        <v>520</v>
      </c>
      <c r="D10" s="70">
        <f>100*0.850996040660822</f>
        <v>85.099604066082208</v>
      </c>
      <c r="E10" s="72">
        <f>100*0.0695967070805678</f>
        <v>6.9596707080567795</v>
      </c>
      <c r="F10" s="72">
        <f>100*0.0794072522586098</f>
        <v>7.9407252258609802</v>
      </c>
      <c r="G10" s="72">
        <v>23</v>
      </c>
    </row>
    <row r="11" spans="1:11" ht="12.75" x14ac:dyDescent="0.25">
      <c r="B11" s="51" t="s">
        <v>103</v>
      </c>
      <c r="C11" s="38">
        <v>742</v>
      </c>
      <c r="D11" s="70">
        <f>100*0.892011726038456</f>
        <v>89.201172603845606</v>
      </c>
      <c r="E11" s="72">
        <f>100*0.0658377696424923</f>
        <v>6.5837769642492301</v>
      </c>
      <c r="F11" s="72">
        <f>100*0.0421505043190521</f>
        <v>4.21505043190521</v>
      </c>
      <c r="G11" s="72">
        <v>29</v>
      </c>
    </row>
    <row r="12" spans="1:11" ht="12.75" x14ac:dyDescent="0.25">
      <c r="B12" s="51" t="s">
        <v>24</v>
      </c>
      <c r="C12" s="38">
        <v>948</v>
      </c>
      <c r="D12" s="70">
        <f>100*0.143023746240105</f>
        <v>14.302374624010501</v>
      </c>
      <c r="E12" s="72">
        <f>100*0.0620737468334496</f>
        <v>6.2073746833449599</v>
      </c>
      <c r="F12" s="72">
        <f>100*0.794902506926446</f>
        <v>79.490250692644608</v>
      </c>
      <c r="G12" s="72">
        <v>47</v>
      </c>
    </row>
    <row r="13" spans="1:11" ht="12.75" x14ac:dyDescent="0.25">
      <c r="B13" s="51" t="s">
        <v>38</v>
      </c>
      <c r="C13" s="38">
        <v>990</v>
      </c>
      <c r="D13" s="70">
        <f>100*0.195603952158469</f>
        <v>19.560395215846903</v>
      </c>
      <c r="E13" s="72">
        <f>100*0.0548933664151505</f>
        <v>5.4893366415150506</v>
      </c>
      <c r="F13" s="72">
        <f>100*0.74950268142638</f>
        <v>74.950268142637995</v>
      </c>
      <c r="G13" s="72">
        <v>24</v>
      </c>
    </row>
    <row r="14" spans="1:11" ht="12.75" x14ac:dyDescent="0.25">
      <c r="B14" s="51" t="s">
        <v>23</v>
      </c>
      <c r="C14" s="38">
        <v>1046</v>
      </c>
      <c r="D14" s="70">
        <f>100*0.973785145668761</f>
        <v>97.378514566876092</v>
      </c>
      <c r="E14" s="72">
        <f>100*0.0241729667845408</f>
        <v>2.4172966784540799</v>
      </c>
      <c r="F14" s="72">
        <f>100*0.00204188754669788</f>
        <v>0.204188754669788</v>
      </c>
      <c r="G14" s="72">
        <v>67</v>
      </c>
    </row>
    <row r="15" spans="1:11" ht="12.75" x14ac:dyDescent="0.25">
      <c r="B15" s="51" t="s">
        <v>10</v>
      </c>
      <c r="C15" s="38">
        <v>1633</v>
      </c>
      <c r="D15" s="70">
        <f>100*0.917744453341598</f>
        <v>91.774445334159807</v>
      </c>
      <c r="E15" s="72">
        <f>100*0.0820737463317062</f>
        <v>8.2073746331706197</v>
      </c>
      <c r="F15" s="72">
        <f>100*0.000181800326696075</f>
        <v>1.81800326696075E-2</v>
      </c>
      <c r="G15" s="72">
        <v>19</v>
      </c>
    </row>
    <row r="16" spans="1:11" ht="12.75" x14ac:dyDescent="0.25">
      <c r="B16" s="62" t="s">
        <v>21</v>
      </c>
      <c r="C16" s="63">
        <v>9319</v>
      </c>
      <c r="D16" s="91">
        <f>100*0.961654568377402</f>
        <v>96.165456837740209</v>
      </c>
      <c r="E16" s="71">
        <f>100*0.0301520670168666</f>
        <v>3.0152067016866599</v>
      </c>
      <c r="F16" s="71">
        <f>100*0.00819336460573194</f>
        <v>0.81933646057319398</v>
      </c>
      <c r="G16" s="72">
        <v>33</v>
      </c>
    </row>
    <row r="17" spans="1:27" s="64" customFormat="1" ht="12.75" x14ac:dyDescent="0.25">
      <c r="A17" s="66"/>
      <c r="B17" s="92" t="s">
        <v>11</v>
      </c>
      <c r="C17" s="87">
        <v>8919</v>
      </c>
      <c r="D17" s="93">
        <f>100*0.91</f>
        <v>91</v>
      </c>
      <c r="E17" s="74">
        <f>100*0.06</f>
        <v>6</v>
      </c>
      <c r="F17" s="88">
        <f>100*0.03</f>
        <v>3</v>
      </c>
      <c r="G17" s="74">
        <v>18</v>
      </c>
      <c r="H17" s="65"/>
      <c r="I17" s="65"/>
      <c r="J17" s="65"/>
      <c r="K17" s="65"/>
      <c r="L17" s="65"/>
      <c r="M17" s="65"/>
      <c r="N17" s="65"/>
      <c r="O17" s="65"/>
      <c r="P17" s="65"/>
      <c r="Q17" s="65"/>
      <c r="R17" s="65"/>
      <c r="S17" s="65"/>
      <c r="T17" s="65"/>
      <c r="U17" s="65"/>
      <c r="V17" s="65"/>
      <c r="W17" s="65"/>
      <c r="X17" s="65"/>
      <c r="Y17" s="65"/>
      <c r="Z17" s="65"/>
      <c r="AA17" s="65"/>
    </row>
    <row r="18" spans="1:27" x14ac:dyDescent="0.2">
      <c r="U18" s="65"/>
      <c r="Y18" s="65"/>
    </row>
    <row r="19" spans="1:27" ht="5.25" customHeight="1" x14ac:dyDescent="0.2"/>
    <row r="20" spans="1:27" ht="2.25" hidden="1" customHeight="1" x14ac:dyDescent="0.2"/>
    <row r="21" spans="1:27" hidden="1" x14ac:dyDescent="0.2"/>
    <row r="22" spans="1:27" ht="12.75" x14ac:dyDescent="0.25">
      <c r="B22" s="27" t="s">
        <v>75</v>
      </c>
    </row>
    <row r="23" spans="1:27" ht="9" customHeight="1" x14ac:dyDescent="0.2">
      <c r="B23" s="6"/>
    </row>
    <row r="24" spans="1:27" ht="12.75" x14ac:dyDescent="0.2">
      <c r="B24" s="36" t="s">
        <v>14</v>
      </c>
      <c r="C24" s="29" t="s">
        <v>39</v>
      </c>
      <c r="D24" s="29" t="s">
        <v>108</v>
      </c>
      <c r="E24" s="29" t="s">
        <v>15</v>
      </c>
      <c r="F24" s="30" t="s">
        <v>16</v>
      </c>
      <c r="G24" s="29" t="s">
        <v>73</v>
      </c>
    </row>
    <row r="25" spans="1:27" ht="12.75" x14ac:dyDescent="0.25">
      <c r="B25" s="51" t="s">
        <v>7</v>
      </c>
      <c r="C25" s="38">
        <v>164</v>
      </c>
      <c r="D25" s="90">
        <f>100*0.592049634950642</f>
        <v>59.204963495064199</v>
      </c>
      <c r="E25" s="72">
        <f>100*0.159087240114314</f>
        <v>15.908724011431399</v>
      </c>
      <c r="F25" s="90">
        <f>100*0.248863125178662</f>
        <v>24.886312517866198</v>
      </c>
      <c r="G25" s="90">
        <v>83</v>
      </c>
    </row>
    <row r="26" spans="1:27" ht="12.75" x14ac:dyDescent="0.25">
      <c r="B26" s="117" t="s">
        <v>37</v>
      </c>
      <c r="C26" s="38">
        <v>116</v>
      </c>
      <c r="D26" s="72">
        <f>100*0.669130375912514</f>
        <v>66.913037591251395</v>
      </c>
      <c r="E26" s="72">
        <f>100*0.33058949660933</f>
        <v>33.058949660933003</v>
      </c>
      <c r="F26" s="72">
        <f>100*0.000280127400385775</f>
        <v>2.80127400385775E-2</v>
      </c>
      <c r="G26" s="72">
        <v>70</v>
      </c>
    </row>
    <row r="27" spans="1:27" ht="12.75" x14ac:dyDescent="0.25">
      <c r="B27" s="51" t="s">
        <v>28</v>
      </c>
      <c r="C27" s="38">
        <v>121</v>
      </c>
      <c r="D27" s="72">
        <f>100*0.705573615361507</f>
        <v>70.557361536150694</v>
      </c>
      <c r="E27" s="72">
        <f>100*0.260641670038309</f>
        <v>26.064167003830903</v>
      </c>
      <c r="F27" s="73">
        <f>100*0.0337847148080486</f>
        <v>3.3784714808048601</v>
      </c>
      <c r="G27" s="72">
        <v>80</v>
      </c>
    </row>
    <row r="28" spans="1:27" ht="12.75" x14ac:dyDescent="0.25">
      <c r="B28" s="51" t="s">
        <v>20</v>
      </c>
      <c r="C28" s="38">
        <v>195</v>
      </c>
      <c r="D28" s="72">
        <f>100*0.717309384119456</f>
        <v>71.730938411945601</v>
      </c>
      <c r="E28" s="72">
        <f>100*0.267229275630224</f>
        <v>26.722927563022399</v>
      </c>
      <c r="F28" s="73">
        <f>100*0.0154613402692901</f>
        <v>1.54613402692901</v>
      </c>
      <c r="G28" s="72">
        <v>70</v>
      </c>
    </row>
    <row r="29" spans="1:27" ht="12.75" x14ac:dyDescent="0.25">
      <c r="B29" s="51" t="s">
        <v>8</v>
      </c>
      <c r="C29" s="38">
        <v>414</v>
      </c>
      <c r="D29" s="72">
        <f>100*0.0478004370340568</f>
        <v>4.7800437034056804</v>
      </c>
      <c r="E29" s="72">
        <f>100*0.0220817551796386</f>
        <v>2.20817551796386</v>
      </c>
      <c r="F29" s="73">
        <f>100*0.93011780762457</f>
        <v>93.011780762456993</v>
      </c>
      <c r="G29" s="72">
        <v>81</v>
      </c>
    </row>
    <row r="30" spans="1:27" ht="12.75" x14ac:dyDescent="0.25">
      <c r="B30" s="51" t="s">
        <v>12</v>
      </c>
      <c r="C30" s="38">
        <v>230</v>
      </c>
      <c r="D30" s="72">
        <f>100*0.654684193217072</f>
        <v>65.468419321707202</v>
      </c>
      <c r="E30" s="72">
        <f>100*0.190128873243975</f>
        <v>19.0128873243975</v>
      </c>
      <c r="F30" s="73">
        <f>100*0.155186933282776</f>
        <v>15.5186933282776</v>
      </c>
      <c r="G30" s="72">
        <v>77</v>
      </c>
    </row>
    <row r="31" spans="1:27" ht="12.75" x14ac:dyDescent="0.25">
      <c r="B31" s="51" t="s">
        <v>103</v>
      </c>
      <c r="C31" s="38">
        <v>156</v>
      </c>
      <c r="D31" s="72">
        <f>100*0.658514571006317</f>
        <v>65.851457100631706</v>
      </c>
      <c r="E31" s="72">
        <f>100*0.22061024348221</f>
        <v>22.061024348221</v>
      </c>
      <c r="F31" s="73">
        <f>100*0.12087518544746</f>
        <v>12.087518544745999</v>
      </c>
      <c r="G31" s="72">
        <v>71</v>
      </c>
    </row>
    <row r="32" spans="1:27" ht="12.75" x14ac:dyDescent="0.25">
      <c r="B32" s="51" t="s">
        <v>24</v>
      </c>
      <c r="C32" s="38">
        <v>997</v>
      </c>
      <c r="D32" s="72">
        <f>100*0.147831478894208</f>
        <v>14.7831478894208</v>
      </c>
      <c r="E32" s="72">
        <f>100*0.0641999560582894</f>
        <v>6.41999560582894</v>
      </c>
      <c r="F32" s="73">
        <f>100*0.787968564997173</f>
        <v>78.796856499717308</v>
      </c>
      <c r="G32" s="72">
        <v>53</v>
      </c>
    </row>
    <row r="33" spans="1:120" ht="12.75" x14ac:dyDescent="0.25">
      <c r="B33" s="51" t="s">
        <v>38</v>
      </c>
      <c r="C33" s="38">
        <v>985</v>
      </c>
      <c r="D33" s="72">
        <f>100*0.211607613361667</f>
        <v>21.160761336166701</v>
      </c>
      <c r="E33" s="72">
        <f>100*0.059744721902165</f>
        <v>5.9744721902164999</v>
      </c>
      <c r="F33" s="73">
        <f>100*0.728647664766677</f>
        <v>72.864766476667697</v>
      </c>
      <c r="G33" s="72">
        <v>76</v>
      </c>
    </row>
    <row r="34" spans="1:120" ht="12.75" x14ac:dyDescent="0.25">
      <c r="B34" s="51" t="s">
        <v>23</v>
      </c>
      <c r="C34" s="38">
        <v>389</v>
      </c>
      <c r="D34" s="72">
        <f>100*0.84143499986632</f>
        <v>84.143499986631994</v>
      </c>
      <c r="E34" s="72">
        <f>100*0.156280965368004</f>
        <v>15.628096536800401</v>
      </c>
      <c r="F34" s="73">
        <f>100*0.00228403474239752</f>
        <v>0.22840347423975202</v>
      </c>
      <c r="G34" s="72">
        <v>33</v>
      </c>
    </row>
    <row r="35" spans="1:120" ht="12.75" x14ac:dyDescent="0.25">
      <c r="B35" s="51" t="s">
        <v>10</v>
      </c>
      <c r="C35" s="38">
        <v>197</v>
      </c>
      <c r="D35" s="72">
        <f>100*0.654540114457886</f>
        <v>65.454011445788595</v>
      </c>
      <c r="E35" s="72">
        <f>100*0.345166694928485</f>
        <v>34.5166694928485</v>
      </c>
      <c r="F35" s="73">
        <f>100*0.000293190466132972</f>
        <v>2.9319046613297199E-2</v>
      </c>
      <c r="G35" s="72">
        <v>81</v>
      </c>
    </row>
    <row r="36" spans="1:120" ht="12.75" x14ac:dyDescent="0.25">
      <c r="B36" s="33" t="s">
        <v>21</v>
      </c>
      <c r="C36" s="38">
        <v>2011</v>
      </c>
      <c r="D36" s="72">
        <f>100*0.905852882597453</f>
        <v>90.585288259745298</v>
      </c>
      <c r="E36" s="72">
        <f>100*0.0613472458337147</f>
        <v>6.1347245833714705</v>
      </c>
      <c r="F36" s="73">
        <f>100*0.0327998715339333</f>
        <v>3.2799871533933302</v>
      </c>
      <c r="G36" s="72">
        <v>67</v>
      </c>
    </row>
    <row r="37" spans="1:120" s="64" customFormat="1" ht="12.75" x14ac:dyDescent="0.25">
      <c r="A37" s="66"/>
      <c r="B37" s="86" t="s">
        <v>11</v>
      </c>
      <c r="C37" s="87">
        <v>1437</v>
      </c>
      <c r="D37" s="74">
        <f>100*0.668500546220047</f>
        <v>66.850054622004691</v>
      </c>
      <c r="E37" s="74">
        <f>100*0.170305845291673</f>
        <v>17.030584529167299</v>
      </c>
      <c r="F37" s="88">
        <f>100*0.16119360848828</f>
        <v>16.119360848827998</v>
      </c>
      <c r="G37" s="74">
        <v>82</v>
      </c>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row>
    <row r="38" spans="1:120" s="65" customFormat="1" ht="12" customHeight="1" x14ac:dyDescent="0.25">
      <c r="B38" s="105"/>
      <c r="C38" s="106"/>
      <c r="D38" s="70"/>
      <c r="E38" s="70"/>
      <c r="F38" s="70"/>
      <c r="G38" s="70"/>
    </row>
    <row r="39" spans="1:120" s="65" customFormat="1" ht="30" customHeight="1" x14ac:dyDescent="0.25">
      <c r="B39" s="105" t="s">
        <v>109</v>
      </c>
      <c r="C39" s="106"/>
      <c r="D39" s="70"/>
      <c r="E39" s="70"/>
      <c r="F39" s="70"/>
      <c r="G39" s="70"/>
    </row>
    <row r="40" spans="1:120" s="65" customFormat="1" ht="39.75" customHeight="1" x14ac:dyDescent="0.25">
      <c r="B40" s="139" t="s">
        <v>110</v>
      </c>
      <c r="C40" s="140"/>
      <c r="D40" s="140"/>
      <c r="E40" s="140"/>
      <c r="F40" s="140"/>
      <c r="G40" s="70"/>
    </row>
    <row r="41" spans="1:120" ht="21" customHeight="1" x14ac:dyDescent="0.2">
      <c r="B41" s="35" t="s">
        <v>33</v>
      </c>
      <c r="C41" s="35"/>
      <c r="D41" s="1"/>
      <c r="E41" s="1"/>
      <c r="F41" s="1"/>
    </row>
    <row r="42" spans="1:120" ht="24" customHeight="1" x14ac:dyDescent="0.2">
      <c r="B42" s="135" t="s">
        <v>66</v>
      </c>
      <c r="C42" s="141"/>
      <c r="D42" s="141"/>
      <c r="E42" s="141"/>
      <c r="F42" s="141"/>
    </row>
    <row r="43" spans="1:120" ht="10.5" customHeight="1" x14ac:dyDescent="0.2">
      <c r="H43" s="1"/>
      <c r="I43" s="1"/>
      <c r="J43" s="1"/>
    </row>
    <row r="44" spans="1:120" ht="11.25" customHeight="1" x14ac:dyDescent="0.2">
      <c r="H44" s="1"/>
      <c r="I44" s="1"/>
      <c r="J44" s="1"/>
    </row>
    <row r="56" spans="2:7" ht="12.75" x14ac:dyDescent="0.2">
      <c r="G56" s="121"/>
    </row>
    <row r="57" spans="2:7" x14ac:dyDescent="0.2">
      <c r="G57" s="1"/>
    </row>
    <row r="58" spans="2:7" ht="12.75" x14ac:dyDescent="0.2">
      <c r="G58" s="121"/>
    </row>
    <row r="60" spans="2:7" x14ac:dyDescent="0.2">
      <c r="B60" s="65"/>
    </row>
  </sheetData>
  <sortState ref="B40:F51">
    <sortCondition ref="C40:C51"/>
  </sortState>
  <customSheetViews>
    <customSheetView guid="{6A2E9D47-DC67-47D5-B0E5-D5F68BC84AAF}" scale="85" hiddenRows="1" topLeftCell="B1">
      <selection activeCell="D4" sqref="D4:F16"/>
      <pageMargins left="0.7" right="0.7" top="0.75" bottom="0.75" header="0.3" footer="0.3"/>
      <pageSetup paperSize="9" orientation="portrait" r:id="rId1"/>
    </customSheetView>
  </customSheetViews>
  <mergeCells count="3">
    <mergeCell ref="B40:F40"/>
    <mergeCell ref="B42:F42"/>
    <mergeCell ref="B1:F1"/>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zoomScale="95" zoomScaleNormal="95" workbookViewId="0">
      <selection activeCell="D15" sqref="D15"/>
    </sheetView>
  </sheetViews>
  <sheetFormatPr baseColWidth="10" defaultRowHeight="11.25" x14ac:dyDescent="0.2"/>
  <cols>
    <col min="1" max="1" width="3.28515625" style="7" customWidth="1"/>
    <col min="2" max="2" width="21.140625" style="7" customWidth="1"/>
    <col min="3" max="3" width="45.140625" style="7" customWidth="1"/>
    <col min="4" max="4" width="47.85546875" style="7" customWidth="1"/>
    <col min="5" max="5" width="38" style="7" customWidth="1"/>
    <col min="6" max="6" width="41.42578125" style="7" customWidth="1"/>
    <col min="7" max="16384" width="11.42578125" style="7"/>
  </cols>
  <sheetData>
    <row r="1" spans="2:5" s="1" customFormat="1" ht="15" customHeight="1" x14ac:dyDescent="0.25">
      <c r="B1" s="35" t="s">
        <v>99</v>
      </c>
    </row>
    <row r="2" spans="2:5" x14ac:dyDescent="0.2">
      <c r="C2" s="8"/>
      <c r="D2" s="84"/>
      <c r="E2" s="85"/>
    </row>
    <row r="3" spans="2:5" ht="12.75" x14ac:dyDescent="0.25">
      <c r="B3" s="52" t="s">
        <v>17</v>
      </c>
      <c r="C3" s="53" t="s">
        <v>39</v>
      </c>
      <c r="D3" s="81" t="s">
        <v>111</v>
      </c>
      <c r="E3" s="86" t="s">
        <v>100</v>
      </c>
    </row>
    <row r="4" spans="2:5" ht="13.5" x14ac:dyDescent="0.25">
      <c r="B4" s="79" t="s">
        <v>45</v>
      </c>
      <c r="C4" s="55">
        <v>50.043225696708397</v>
      </c>
      <c r="D4" s="82">
        <v>19.728735683301402</v>
      </c>
      <c r="E4" s="95">
        <f>100*(1-D4/C4)</f>
        <v>60.576610702776776</v>
      </c>
    </row>
    <row r="5" spans="2:5" ht="13.5" x14ac:dyDescent="0.25">
      <c r="B5" s="79" t="s">
        <v>46</v>
      </c>
      <c r="C5" s="55">
        <v>154.16155605345099</v>
      </c>
      <c r="D5" s="82">
        <v>54.836998621860502</v>
      </c>
      <c r="E5" s="95">
        <f t="shared" ref="E5:E15" si="0">100*(1-D5/C5)</f>
        <v>64.428875767933107</v>
      </c>
    </row>
    <row r="6" spans="2:5" ht="13.5" x14ac:dyDescent="0.25">
      <c r="B6" s="79" t="s">
        <v>47</v>
      </c>
      <c r="C6" s="55">
        <v>285.76507662154398</v>
      </c>
      <c r="D6" s="82">
        <v>107.45716254760499</v>
      </c>
      <c r="E6" s="95">
        <f t="shared" si="0"/>
        <v>62.396677782318008</v>
      </c>
    </row>
    <row r="7" spans="2:5" ht="13.5" x14ac:dyDescent="0.25">
      <c r="B7" s="79" t="s">
        <v>48</v>
      </c>
      <c r="C7" s="55">
        <v>454.926755474922</v>
      </c>
      <c r="D7" s="82">
        <v>189.52737730435501</v>
      </c>
      <c r="E7" s="95">
        <f t="shared" si="0"/>
        <v>58.338924887700351</v>
      </c>
    </row>
    <row r="8" spans="2:5" ht="13.5" x14ac:dyDescent="0.25">
      <c r="B8" s="79" t="s">
        <v>49</v>
      </c>
      <c r="C8" s="55">
        <v>668.52863211342196</v>
      </c>
      <c r="D8" s="82">
        <v>292.49995796300101</v>
      </c>
      <c r="E8" s="95">
        <f t="shared" si="0"/>
        <v>56.247205592628127</v>
      </c>
    </row>
    <row r="9" spans="2:5" ht="13.5" x14ac:dyDescent="0.25">
      <c r="B9" s="79" t="s">
        <v>50</v>
      </c>
      <c r="C9" s="55">
        <v>949.19436269210098</v>
      </c>
      <c r="D9" s="82">
        <v>411.735537143969</v>
      </c>
      <c r="E9" s="95">
        <f t="shared" si="0"/>
        <v>56.622631430700189</v>
      </c>
    </row>
    <row r="10" spans="2:5" ht="13.5" x14ac:dyDescent="0.25">
      <c r="B10" s="79" t="s">
        <v>51</v>
      </c>
      <c r="C10" s="55">
        <v>1364.8830492448301</v>
      </c>
      <c r="D10" s="82">
        <v>552.09062438485705</v>
      </c>
      <c r="E10" s="95">
        <f t="shared" si="0"/>
        <v>59.550334756496483</v>
      </c>
    </row>
    <row r="11" spans="2:5" ht="13.5" x14ac:dyDescent="0.25">
      <c r="B11" s="79" t="s">
        <v>52</v>
      </c>
      <c r="C11" s="55">
        <v>2051.8562283617798</v>
      </c>
      <c r="D11" s="55">
        <v>754.15433431036001</v>
      </c>
      <c r="E11" s="95">
        <f t="shared" si="0"/>
        <v>63.245264269198657</v>
      </c>
    </row>
    <row r="12" spans="2:5" ht="13.5" x14ac:dyDescent="0.25">
      <c r="B12" s="79" t="s">
        <v>53</v>
      </c>
      <c r="C12" s="55">
        <v>3547.3562481863501</v>
      </c>
      <c r="D12" s="55">
        <v>1065.94967099326</v>
      </c>
      <c r="E12" s="104">
        <f t="shared" si="0"/>
        <v>69.950870552168368</v>
      </c>
    </row>
    <row r="13" spans="2:5" ht="12.75" x14ac:dyDescent="0.25">
      <c r="B13" s="79" t="s">
        <v>54</v>
      </c>
      <c r="C13" s="55">
        <v>17321.0621412689</v>
      </c>
      <c r="D13" s="82">
        <v>1548.2868727699299</v>
      </c>
      <c r="E13" s="95">
        <f t="shared" si="0"/>
        <v>91.061247513909635</v>
      </c>
    </row>
    <row r="14" spans="2:5" ht="12.75" x14ac:dyDescent="0.25">
      <c r="B14" s="79" t="s">
        <v>44</v>
      </c>
      <c r="C14" s="55">
        <v>27405.1687593891</v>
      </c>
      <c r="D14" s="82">
        <v>1669.0125757927599</v>
      </c>
      <c r="E14" s="95">
        <f t="shared" si="0"/>
        <v>93.909862075850384</v>
      </c>
    </row>
    <row r="15" spans="2:5" ht="12.75" x14ac:dyDescent="0.25">
      <c r="B15" s="80" t="s">
        <v>55</v>
      </c>
      <c r="C15" s="56">
        <v>68017.564480537199</v>
      </c>
      <c r="D15" s="83">
        <v>2046.0329551249999</v>
      </c>
      <c r="E15" s="96">
        <f t="shared" si="0"/>
        <v>96.991905001669892</v>
      </c>
    </row>
    <row r="16" spans="2:5" ht="8.25" customHeight="1" x14ac:dyDescent="0.25">
      <c r="B16" s="127"/>
      <c r="C16" s="128"/>
      <c r="D16" s="128"/>
      <c r="E16" s="129"/>
    </row>
    <row r="17" spans="2:5" ht="19.5" customHeight="1" x14ac:dyDescent="0.2">
      <c r="B17" s="142" t="s">
        <v>84</v>
      </c>
      <c r="C17" s="142"/>
      <c r="D17" s="142"/>
    </row>
    <row r="18" spans="2:5" ht="27" customHeight="1" x14ac:dyDescent="0.2">
      <c r="B18" s="135" t="s">
        <v>112</v>
      </c>
      <c r="C18" s="135"/>
      <c r="D18" s="135"/>
      <c r="E18" s="135"/>
    </row>
    <row r="19" spans="2:5" ht="26.25" customHeight="1" x14ac:dyDescent="0.2">
      <c r="B19" s="139" t="s">
        <v>113</v>
      </c>
      <c r="C19" s="139"/>
      <c r="D19" s="139"/>
      <c r="E19" s="139"/>
    </row>
    <row r="20" spans="2:5" s="1" customFormat="1" ht="19.5" customHeight="1" x14ac:dyDescent="0.25">
      <c r="B20" s="135" t="s">
        <v>36</v>
      </c>
      <c r="C20" s="135"/>
      <c r="D20" s="135"/>
      <c r="E20" s="135"/>
    </row>
    <row r="21" spans="2:5" s="1" customFormat="1" ht="24" customHeight="1" x14ac:dyDescent="0.25">
      <c r="B21" s="135" t="s">
        <v>67</v>
      </c>
      <c r="C21" s="135"/>
      <c r="D21" s="135"/>
      <c r="E21" s="135"/>
    </row>
  </sheetData>
  <customSheetViews>
    <customSheetView guid="{6A2E9D47-DC67-47D5-B0E5-D5F68BC84AAF}">
      <selection activeCell="B1" sqref="B1"/>
      <pageMargins left="0.7" right="0.7" top="0.75" bottom="0.75" header="0.3" footer="0.3"/>
      <pageSetup paperSize="9" orientation="portrait" r:id="rId1"/>
    </customSheetView>
  </customSheetViews>
  <mergeCells count="5">
    <mergeCell ref="B17:D17"/>
    <mergeCell ref="B18:E18"/>
    <mergeCell ref="B19:E19"/>
    <mergeCell ref="B20:E20"/>
    <mergeCell ref="B21:E2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4"/>
  <sheetViews>
    <sheetView zoomScale="110" zoomScaleNormal="110" workbookViewId="0">
      <selection activeCell="H3" sqref="H3"/>
    </sheetView>
  </sheetViews>
  <sheetFormatPr baseColWidth="10" defaultRowHeight="15" x14ac:dyDescent="0.25"/>
  <cols>
    <col min="1" max="1" width="4.5703125" style="2" customWidth="1"/>
    <col min="2" max="2" width="18.5703125" style="2" customWidth="1"/>
    <col min="3" max="3" width="37.85546875" style="2" customWidth="1"/>
    <col min="4" max="4" width="46.7109375" style="4" customWidth="1"/>
    <col min="5" max="5" width="22.42578125" style="2" customWidth="1"/>
    <col min="6" max="6" width="3.85546875" style="2" customWidth="1"/>
    <col min="7" max="16384" width="11.42578125" style="2"/>
  </cols>
  <sheetData>
    <row r="1" spans="2:18" s="3" customFormat="1" ht="12.75" x14ac:dyDescent="0.25">
      <c r="B1" s="27" t="s">
        <v>114</v>
      </c>
      <c r="D1" s="69"/>
    </row>
    <row r="3" spans="2:18" x14ac:dyDescent="0.25">
      <c r="G3" s="67" t="s">
        <v>42</v>
      </c>
      <c r="H3" s="68"/>
      <c r="I3" s="26"/>
      <c r="J3" s="26"/>
      <c r="K3" s="26"/>
      <c r="L3" s="26"/>
      <c r="M3" s="26"/>
      <c r="N3" s="26"/>
      <c r="O3" s="26"/>
      <c r="P3" s="26"/>
      <c r="Q3" s="26"/>
      <c r="R3" s="26"/>
    </row>
    <row r="4" spans="2:18" ht="30" customHeight="1" x14ac:dyDescent="0.25">
      <c r="B4" s="97"/>
      <c r="G4" s="143" t="s">
        <v>87</v>
      </c>
      <c r="H4" s="144"/>
      <c r="I4" s="144"/>
      <c r="J4" s="144"/>
      <c r="K4" s="144"/>
      <c r="L4" s="144"/>
      <c r="M4" s="144"/>
      <c r="N4" s="144"/>
      <c r="O4" s="144"/>
      <c r="P4" s="144"/>
      <c r="Q4" s="144"/>
      <c r="R4" s="144"/>
    </row>
    <row r="5" spans="2:18" ht="34.5" customHeight="1" x14ac:dyDescent="0.25">
      <c r="G5" s="143" t="s">
        <v>68</v>
      </c>
      <c r="H5" s="144"/>
      <c r="I5" s="144"/>
      <c r="J5" s="144"/>
      <c r="K5" s="144"/>
      <c r="L5" s="144"/>
      <c r="M5" s="144"/>
      <c r="N5" s="144"/>
      <c r="O5" s="144"/>
      <c r="P5" s="144"/>
      <c r="Q5" s="144"/>
      <c r="R5" s="144"/>
    </row>
    <row r="6" spans="2:18" s="5" customFormat="1" x14ac:dyDescent="0.25">
      <c r="B6" s="9" t="s">
        <v>35</v>
      </c>
      <c r="C6" s="10" t="s">
        <v>14</v>
      </c>
      <c r="D6" s="11" t="s">
        <v>115</v>
      </c>
      <c r="E6" s="10" t="s">
        <v>13</v>
      </c>
      <c r="G6" s="57"/>
    </row>
    <row r="7" spans="2:18" x14ac:dyDescent="0.25">
      <c r="B7" s="12" t="s">
        <v>41</v>
      </c>
      <c r="C7" s="13" t="s">
        <v>24</v>
      </c>
      <c r="D7" s="14">
        <v>1366.0527757124244</v>
      </c>
      <c r="E7" s="15">
        <v>0.115173984693621</v>
      </c>
    </row>
    <row r="8" spans="2:18" x14ac:dyDescent="0.25">
      <c r="B8" s="16" t="s">
        <v>0</v>
      </c>
      <c r="C8" s="17" t="s">
        <v>24</v>
      </c>
      <c r="D8" s="18">
        <v>1533.6062757967459</v>
      </c>
      <c r="E8" s="19">
        <v>0.142235334270742</v>
      </c>
    </row>
    <row r="9" spans="2:18" x14ac:dyDescent="0.25">
      <c r="B9" s="16" t="s">
        <v>1</v>
      </c>
      <c r="C9" s="17" t="s">
        <v>24</v>
      </c>
      <c r="D9" s="18">
        <v>1089.6401413480862</v>
      </c>
      <c r="E9" s="19">
        <v>8.9955859894238197E-2</v>
      </c>
    </row>
    <row r="10" spans="2:18" x14ac:dyDescent="0.25">
      <c r="B10" s="16" t="s">
        <v>2</v>
      </c>
      <c r="C10" s="17" t="s">
        <v>24</v>
      </c>
      <c r="D10" s="18">
        <v>1187.2324302812581</v>
      </c>
      <c r="E10" s="19">
        <v>0.15288244735244899</v>
      </c>
    </row>
    <row r="11" spans="2:18" x14ac:dyDescent="0.25">
      <c r="B11" s="16" t="s">
        <v>3</v>
      </c>
      <c r="C11" s="17" t="s">
        <v>24</v>
      </c>
      <c r="D11" s="18">
        <v>1139.8838389296116</v>
      </c>
      <c r="E11" s="19">
        <v>0.33992701985648099</v>
      </c>
    </row>
    <row r="12" spans="2:18" x14ac:dyDescent="0.25">
      <c r="B12" s="16" t="s">
        <v>4</v>
      </c>
      <c r="C12" s="17" t="s">
        <v>24</v>
      </c>
      <c r="D12" s="18">
        <v>1142.8267701378857</v>
      </c>
      <c r="E12" s="19">
        <v>0.90968481489625297</v>
      </c>
    </row>
    <row r="13" spans="2:18" x14ac:dyDescent="0.25">
      <c r="B13" s="16" t="s">
        <v>5</v>
      </c>
      <c r="C13" s="17" t="s">
        <v>24</v>
      </c>
      <c r="D13" s="18">
        <v>981.63679062268091</v>
      </c>
      <c r="E13" s="19">
        <v>2.66445630237977</v>
      </c>
    </row>
    <row r="14" spans="2:18" x14ac:dyDescent="0.25">
      <c r="B14" s="16" t="s">
        <v>6</v>
      </c>
      <c r="C14" s="17" t="s">
        <v>24</v>
      </c>
      <c r="D14" s="18">
        <v>963.1075265281595</v>
      </c>
      <c r="E14" s="19">
        <v>6.6532344755626802</v>
      </c>
    </row>
    <row r="15" spans="2:18" ht="13.5" customHeight="1" x14ac:dyDescent="0.25">
      <c r="B15" s="20" t="s">
        <v>89</v>
      </c>
      <c r="C15" s="21" t="s">
        <v>24</v>
      </c>
      <c r="D15" s="22">
        <v>908.14808154147818</v>
      </c>
      <c r="E15" s="23">
        <v>11.897525311059299</v>
      </c>
    </row>
    <row r="16" spans="2:18" x14ac:dyDescent="0.25">
      <c r="B16" s="12" t="s">
        <v>41</v>
      </c>
      <c r="C16" s="13" t="s">
        <v>70</v>
      </c>
      <c r="D16" s="18">
        <v>112.78848601871968</v>
      </c>
      <c r="E16" s="24">
        <v>28.641100575825099</v>
      </c>
    </row>
    <row r="17" spans="2:5" x14ac:dyDescent="0.25">
      <c r="B17" s="16" t="s">
        <v>0</v>
      </c>
      <c r="C17" s="17" t="s">
        <v>70</v>
      </c>
      <c r="D17" s="18">
        <v>178.5504320184869</v>
      </c>
      <c r="E17" s="19">
        <v>25.404954913426099</v>
      </c>
    </row>
    <row r="18" spans="2:5" x14ac:dyDescent="0.25">
      <c r="B18" s="16" t="s">
        <v>1</v>
      </c>
      <c r="C18" s="17" t="s">
        <v>70</v>
      </c>
      <c r="D18" s="18">
        <v>173.43214609654342</v>
      </c>
      <c r="E18" s="19">
        <v>28.1151871067187</v>
      </c>
    </row>
    <row r="19" spans="2:5" x14ac:dyDescent="0.25">
      <c r="B19" s="16" t="s">
        <v>2</v>
      </c>
      <c r="C19" s="17" t="s">
        <v>70</v>
      </c>
      <c r="D19" s="18">
        <v>202.8783289548731</v>
      </c>
      <c r="E19" s="19">
        <v>32.437000795358699</v>
      </c>
    </row>
    <row r="20" spans="2:5" x14ac:dyDescent="0.25">
      <c r="B20" s="16" t="s">
        <v>3</v>
      </c>
      <c r="C20" s="17" t="s">
        <v>70</v>
      </c>
      <c r="D20" s="18">
        <v>247.83607307561752</v>
      </c>
      <c r="E20" s="19">
        <v>33.406646024786099</v>
      </c>
    </row>
    <row r="21" spans="2:5" x14ac:dyDescent="0.25">
      <c r="B21" s="16" t="s">
        <v>4</v>
      </c>
      <c r="C21" s="17" t="s">
        <v>70</v>
      </c>
      <c r="D21" s="18">
        <v>322.00678646859996</v>
      </c>
      <c r="E21" s="19">
        <v>43.742646581116901</v>
      </c>
    </row>
    <row r="22" spans="2:5" x14ac:dyDescent="0.25">
      <c r="B22" s="16" t="s">
        <v>5</v>
      </c>
      <c r="C22" s="17" t="s">
        <v>70</v>
      </c>
      <c r="D22" s="18">
        <v>433.07726258120726</v>
      </c>
      <c r="E22" s="19">
        <v>51.549540333707</v>
      </c>
    </row>
    <row r="23" spans="2:5" x14ac:dyDescent="0.25">
      <c r="B23" s="16" t="s">
        <v>6</v>
      </c>
      <c r="C23" s="17" t="s">
        <v>70</v>
      </c>
      <c r="D23" s="18">
        <v>511.0001496453109</v>
      </c>
      <c r="E23" s="19">
        <v>58.384093603239499</v>
      </c>
    </row>
    <row r="24" spans="2:5" x14ac:dyDescent="0.25">
      <c r="B24" s="20" t="s">
        <v>89</v>
      </c>
      <c r="C24" s="21" t="s">
        <v>70</v>
      </c>
      <c r="D24" s="25">
        <v>625.78344224614443</v>
      </c>
      <c r="E24" s="23">
        <v>66.780453684463097</v>
      </c>
    </row>
    <row r="25" spans="2:5" x14ac:dyDescent="0.25">
      <c r="B25" s="12" t="s">
        <v>41</v>
      </c>
      <c r="C25" s="13" t="s">
        <v>25</v>
      </c>
      <c r="D25" s="14">
        <v>153.11802121929622</v>
      </c>
      <c r="E25" s="15">
        <v>44.820360311939503</v>
      </c>
    </row>
    <row r="26" spans="2:5" x14ac:dyDescent="0.25">
      <c r="B26" s="16" t="s">
        <v>0</v>
      </c>
      <c r="C26" s="17" t="s">
        <v>25</v>
      </c>
      <c r="D26" s="18">
        <v>124.38245807839351</v>
      </c>
      <c r="E26" s="19">
        <v>26.491123418581299</v>
      </c>
    </row>
    <row r="27" spans="2:5" x14ac:dyDescent="0.25">
      <c r="B27" s="16" t="s">
        <v>1</v>
      </c>
      <c r="C27" s="17" t="s">
        <v>25</v>
      </c>
      <c r="D27" s="18">
        <v>131.00929287995939</v>
      </c>
      <c r="E27" s="19">
        <v>33.597962470376103</v>
      </c>
    </row>
    <row r="28" spans="2:5" x14ac:dyDescent="0.25">
      <c r="B28" s="16" t="s">
        <v>2</v>
      </c>
      <c r="C28" s="17" t="s">
        <v>25</v>
      </c>
      <c r="D28" s="18">
        <v>132.02195661223271</v>
      </c>
      <c r="E28" s="19">
        <v>37.343136476817797</v>
      </c>
    </row>
    <row r="29" spans="2:5" x14ac:dyDescent="0.25">
      <c r="B29" s="16" t="s">
        <v>3</v>
      </c>
      <c r="C29" s="17" t="s">
        <v>25</v>
      </c>
      <c r="D29" s="18">
        <v>152.86729206596971</v>
      </c>
      <c r="E29" s="19">
        <v>37.695753634580498</v>
      </c>
    </row>
    <row r="30" spans="2:5" x14ac:dyDescent="0.25">
      <c r="B30" s="16" t="s">
        <v>4</v>
      </c>
      <c r="C30" s="17" t="s">
        <v>25</v>
      </c>
      <c r="D30" s="18">
        <v>192.89341540894827</v>
      </c>
      <c r="E30" s="19">
        <v>40.702041082843998</v>
      </c>
    </row>
    <row r="31" spans="2:5" x14ac:dyDescent="0.25">
      <c r="B31" s="16" t="s">
        <v>5</v>
      </c>
      <c r="C31" s="17" t="s">
        <v>25</v>
      </c>
      <c r="D31" s="18">
        <v>245.7395253161032</v>
      </c>
      <c r="E31" s="19">
        <v>44.426254484512299</v>
      </c>
    </row>
    <row r="32" spans="2:5" x14ac:dyDescent="0.25">
      <c r="B32" s="16" t="s">
        <v>6</v>
      </c>
      <c r="C32" s="17" t="s">
        <v>25</v>
      </c>
      <c r="D32" s="18">
        <v>291.15624243782969</v>
      </c>
      <c r="E32" s="19">
        <v>48.2938750392019</v>
      </c>
    </row>
    <row r="33" spans="2:5" x14ac:dyDescent="0.25">
      <c r="B33" s="20" t="s">
        <v>89</v>
      </c>
      <c r="C33" s="21" t="s">
        <v>25</v>
      </c>
      <c r="D33" s="25">
        <v>242.50973257053221</v>
      </c>
      <c r="E33" s="23">
        <v>42.7049774587339</v>
      </c>
    </row>
    <row r="34" spans="2:5" x14ac:dyDescent="0.25">
      <c r="B34" s="12" t="s">
        <v>41</v>
      </c>
      <c r="C34" s="13" t="s">
        <v>88</v>
      </c>
      <c r="D34" s="14">
        <v>461.19190695608057</v>
      </c>
      <c r="E34" s="15">
        <v>13.881127846262199</v>
      </c>
    </row>
    <row r="35" spans="2:5" x14ac:dyDescent="0.25">
      <c r="B35" s="16" t="s">
        <v>0</v>
      </c>
      <c r="C35" s="17" t="s">
        <v>88</v>
      </c>
      <c r="D35" s="18">
        <v>398.33483543868113</v>
      </c>
      <c r="E35" s="19">
        <v>6.8095288393496602</v>
      </c>
    </row>
    <row r="36" spans="2:5" x14ac:dyDescent="0.25">
      <c r="B36" s="16" t="s">
        <v>1</v>
      </c>
      <c r="C36" s="17" t="s">
        <v>88</v>
      </c>
      <c r="D36" s="18">
        <v>174.53133753208073</v>
      </c>
      <c r="E36" s="19">
        <v>1.63212805873197</v>
      </c>
    </row>
    <row r="37" spans="2:5" x14ac:dyDescent="0.25">
      <c r="B37" s="16" t="s">
        <v>2</v>
      </c>
      <c r="C37" s="17" t="s">
        <v>88</v>
      </c>
      <c r="D37" s="18">
        <v>161.75653108365532</v>
      </c>
      <c r="E37" s="19">
        <v>1.8474818303642</v>
      </c>
    </row>
    <row r="38" spans="2:5" x14ac:dyDescent="0.25">
      <c r="B38" s="16" t="s">
        <v>3</v>
      </c>
      <c r="C38" s="17" t="s">
        <v>88</v>
      </c>
      <c r="D38" s="18">
        <v>162.6286611393347</v>
      </c>
      <c r="E38" s="19">
        <v>2.3449737064347298</v>
      </c>
    </row>
    <row r="39" spans="2:5" x14ac:dyDescent="0.25">
      <c r="B39" s="16" t="s">
        <v>4</v>
      </c>
      <c r="C39" s="17" t="s">
        <v>88</v>
      </c>
      <c r="D39" s="18">
        <v>171.68148040668805</v>
      </c>
      <c r="E39" s="19">
        <v>3.2200072812473302</v>
      </c>
    </row>
    <row r="40" spans="2:5" x14ac:dyDescent="0.25">
      <c r="B40" s="16" t="s">
        <v>5</v>
      </c>
      <c r="C40" s="17" t="s">
        <v>88</v>
      </c>
      <c r="D40" s="18">
        <v>170.52136352762258</v>
      </c>
      <c r="E40" s="19">
        <v>5.3468083331217304</v>
      </c>
    </row>
    <row r="41" spans="2:5" x14ac:dyDescent="0.25">
      <c r="B41" s="16" t="s">
        <v>6</v>
      </c>
      <c r="C41" s="17" t="s">
        <v>88</v>
      </c>
      <c r="D41" s="18">
        <v>231.73433569132257</v>
      </c>
      <c r="E41" s="19">
        <v>7.9495296760691998</v>
      </c>
    </row>
    <row r="42" spans="2:5" x14ac:dyDescent="0.25">
      <c r="B42" s="20" t="s">
        <v>89</v>
      </c>
      <c r="C42" s="21" t="s">
        <v>88</v>
      </c>
      <c r="D42" s="25">
        <v>337.94362739889505</v>
      </c>
      <c r="E42" s="23">
        <v>8.3546662718328601</v>
      </c>
    </row>
    <row r="43" spans="2:5" x14ac:dyDescent="0.25">
      <c r="B43" s="12" t="s">
        <v>41</v>
      </c>
      <c r="C43" s="13" t="s">
        <v>26</v>
      </c>
      <c r="D43" s="14">
        <v>117.22539578367704</v>
      </c>
      <c r="E43" s="15">
        <v>1.09918113572783</v>
      </c>
    </row>
    <row r="44" spans="2:5" x14ac:dyDescent="0.25">
      <c r="B44" s="16" t="s">
        <v>0</v>
      </c>
      <c r="C44" s="17" t="s">
        <v>26</v>
      </c>
      <c r="D44" s="18">
        <v>115.26972576790358</v>
      </c>
      <c r="E44" s="19">
        <v>1.9061708374825801</v>
      </c>
    </row>
    <row r="45" spans="2:5" x14ac:dyDescent="0.25">
      <c r="B45" s="16" t="s">
        <v>1</v>
      </c>
      <c r="C45" s="17" t="s">
        <v>26</v>
      </c>
      <c r="D45" s="18">
        <v>125.55905758694193</v>
      </c>
      <c r="E45" s="19">
        <v>2.1782571395114498</v>
      </c>
    </row>
    <row r="46" spans="2:5" x14ac:dyDescent="0.25">
      <c r="B46" s="16" t="s">
        <v>2</v>
      </c>
      <c r="C46" s="17" t="s">
        <v>26</v>
      </c>
      <c r="D46" s="18">
        <v>133.48841358877317</v>
      </c>
      <c r="E46" s="19">
        <v>3.5193338399724601</v>
      </c>
    </row>
    <row r="47" spans="2:5" x14ac:dyDescent="0.25">
      <c r="B47" s="16" t="s">
        <v>3</v>
      </c>
      <c r="C47" s="17" t="s">
        <v>26</v>
      </c>
      <c r="D47" s="18">
        <v>141.23442540389004</v>
      </c>
      <c r="E47" s="19">
        <v>6.7781962882651596</v>
      </c>
    </row>
    <row r="48" spans="2:5" x14ac:dyDescent="0.25">
      <c r="B48" s="16" t="s">
        <v>4</v>
      </c>
      <c r="C48" s="17" t="s">
        <v>26</v>
      </c>
      <c r="D48" s="18">
        <v>149.51360043914841</v>
      </c>
      <c r="E48" s="19">
        <v>12.630882502295</v>
      </c>
    </row>
    <row r="49" spans="2:5" x14ac:dyDescent="0.25">
      <c r="B49" s="16" t="s">
        <v>5</v>
      </c>
      <c r="C49" s="17" t="s">
        <v>26</v>
      </c>
      <c r="D49" s="18">
        <v>152.76152772653921</v>
      </c>
      <c r="E49" s="19">
        <v>21.924879052687199</v>
      </c>
    </row>
    <row r="50" spans="2:5" x14ac:dyDescent="0.25">
      <c r="B50" s="16" t="s">
        <v>6</v>
      </c>
      <c r="C50" s="17" t="s">
        <v>26</v>
      </c>
      <c r="D50" s="18">
        <v>155.96911328104528</v>
      </c>
      <c r="E50" s="19">
        <v>31.878435711876499</v>
      </c>
    </row>
    <row r="51" spans="2:5" x14ac:dyDescent="0.25">
      <c r="B51" s="20" t="s">
        <v>89</v>
      </c>
      <c r="C51" s="21" t="s">
        <v>26</v>
      </c>
      <c r="D51" s="25">
        <v>147.16777141660674</v>
      </c>
      <c r="E51" s="23">
        <v>32.209733334014103</v>
      </c>
    </row>
    <row r="52" spans="2:5" x14ac:dyDescent="0.25">
      <c r="B52" s="12" t="s">
        <v>41</v>
      </c>
      <c r="C52" s="13" t="s">
        <v>69</v>
      </c>
      <c r="D52" s="14">
        <v>81.012746219232042</v>
      </c>
      <c r="E52" s="15">
        <v>5.5321967512034496</v>
      </c>
    </row>
    <row r="53" spans="2:5" x14ac:dyDescent="0.25">
      <c r="B53" s="16" t="s">
        <v>0</v>
      </c>
      <c r="C53" s="17" t="s">
        <v>69</v>
      </c>
      <c r="D53" s="18">
        <v>93.359767884640902</v>
      </c>
      <c r="E53" s="19">
        <v>7.7219572744495997</v>
      </c>
    </row>
    <row r="54" spans="2:5" x14ac:dyDescent="0.25">
      <c r="B54" s="17" t="s">
        <v>1</v>
      </c>
      <c r="C54" s="113" t="s">
        <v>69</v>
      </c>
      <c r="D54" s="18">
        <v>102.88188803597036</v>
      </c>
      <c r="E54" s="19">
        <v>7.4875514514691597</v>
      </c>
    </row>
    <row r="55" spans="2:5" x14ac:dyDescent="0.25">
      <c r="B55" s="17" t="s">
        <v>2</v>
      </c>
      <c r="C55" s="17" t="s">
        <v>69</v>
      </c>
      <c r="D55" s="18">
        <v>102.59597170239181</v>
      </c>
      <c r="E55" s="19">
        <v>9.0268246573762507</v>
      </c>
    </row>
    <row r="56" spans="2:5" x14ac:dyDescent="0.25">
      <c r="B56" s="17" t="s">
        <v>3</v>
      </c>
      <c r="C56" s="17" t="s">
        <v>69</v>
      </c>
      <c r="D56" s="18">
        <v>109.10981942791739</v>
      </c>
      <c r="E56" s="19">
        <v>11.3176494599193</v>
      </c>
    </row>
    <row r="57" spans="2:5" x14ac:dyDescent="0.25">
      <c r="B57" s="17" t="s">
        <v>4</v>
      </c>
      <c r="C57" s="17" t="s">
        <v>69</v>
      </c>
      <c r="D57" s="18">
        <v>116.83865219789148</v>
      </c>
      <c r="E57" s="19">
        <v>15.1096070942093</v>
      </c>
    </row>
    <row r="58" spans="2:5" x14ac:dyDescent="0.25">
      <c r="B58" s="17" t="s">
        <v>5</v>
      </c>
      <c r="C58" s="17" t="s">
        <v>69</v>
      </c>
      <c r="D58" s="18">
        <v>120.88055550225484</v>
      </c>
      <c r="E58" s="19">
        <v>19.626982889023498</v>
      </c>
    </row>
    <row r="59" spans="2:5" x14ac:dyDescent="0.25">
      <c r="B59" s="17" t="s">
        <v>6</v>
      </c>
      <c r="C59" s="17" t="s">
        <v>69</v>
      </c>
      <c r="D59" s="18">
        <v>124.21914101581976</v>
      </c>
      <c r="E59" s="19">
        <v>23.7536958249752</v>
      </c>
    </row>
    <row r="60" spans="2:5" x14ac:dyDescent="0.25">
      <c r="B60" s="21" t="s">
        <v>89</v>
      </c>
      <c r="C60" s="21" t="s">
        <v>69</v>
      </c>
      <c r="D60" s="25">
        <v>113.71650755526863</v>
      </c>
      <c r="E60" s="23">
        <v>18.475413937292899</v>
      </c>
    </row>
    <row r="61" spans="2:5" x14ac:dyDescent="0.25">
      <c r="B61" s="12" t="s">
        <v>41</v>
      </c>
      <c r="C61" s="17" t="s">
        <v>27</v>
      </c>
      <c r="D61" s="14">
        <v>49.988763022741082</v>
      </c>
      <c r="E61" s="15">
        <v>5.43563357295307</v>
      </c>
    </row>
    <row r="62" spans="2:5" x14ac:dyDescent="0.25">
      <c r="B62" s="16" t="s">
        <v>0</v>
      </c>
      <c r="C62" s="17" t="s">
        <v>27</v>
      </c>
      <c r="D62" s="18">
        <v>61.323332322463251</v>
      </c>
      <c r="E62" s="19">
        <v>10.4561775841363</v>
      </c>
    </row>
    <row r="63" spans="2:5" x14ac:dyDescent="0.25">
      <c r="B63" s="16" t="s">
        <v>1</v>
      </c>
      <c r="C63" s="17" t="s">
        <v>27</v>
      </c>
      <c r="D63" s="18">
        <v>68.687317786514896</v>
      </c>
      <c r="E63" s="19">
        <v>9.2996034788812008</v>
      </c>
    </row>
    <row r="64" spans="2:5" x14ac:dyDescent="0.25">
      <c r="B64" s="16" t="s">
        <v>2</v>
      </c>
      <c r="C64" s="17" t="s">
        <v>27</v>
      </c>
      <c r="D64" s="18">
        <v>69.519751912735416</v>
      </c>
      <c r="E64" s="19">
        <v>10.5166862603923</v>
      </c>
    </row>
    <row r="65" spans="2:5" x14ac:dyDescent="0.25">
      <c r="B65" s="16" t="s">
        <v>3</v>
      </c>
      <c r="C65" s="17" t="s">
        <v>27</v>
      </c>
      <c r="D65" s="18">
        <v>69.54557806213171</v>
      </c>
      <c r="E65" s="19">
        <v>10.3732133291732</v>
      </c>
    </row>
    <row r="66" spans="2:5" x14ac:dyDescent="0.25">
      <c r="B66" s="16" t="s">
        <v>4</v>
      </c>
      <c r="C66" s="17" t="s">
        <v>27</v>
      </c>
      <c r="D66" s="18">
        <v>69.830369597839194</v>
      </c>
      <c r="E66" s="19">
        <v>10.9931825131303</v>
      </c>
    </row>
    <row r="67" spans="2:5" x14ac:dyDescent="0.25">
      <c r="B67" s="16" t="s">
        <v>5</v>
      </c>
      <c r="C67" s="17" t="s">
        <v>27</v>
      </c>
      <c r="D67" s="18">
        <v>70.721829771084188</v>
      </c>
      <c r="E67" s="19">
        <v>13.9016919927498</v>
      </c>
    </row>
    <row r="68" spans="2:5" x14ac:dyDescent="0.25">
      <c r="B68" s="16" t="s">
        <v>6</v>
      </c>
      <c r="C68" s="17" t="s">
        <v>27</v>
      </c>
      <c r="D68" s="18">
        <v>75.584822515863308</v>
      </c>
      <c r="E68" s="19">
        <v>16.082948218015702</v>
      </c>
    </row>
    <row r="69" spans="2:5" x14ac:dyDescent="0.25">
      <c r="B69" s="20" t="s">
        <v>89</v>
      </c>
      <c r="C69" s="21" t="s">
        <v>27</v>
      </c>
      <c r="D69" s="25">
        <v>78.822055494821797</v>
      </c>
      <c r="E69" s="23">
        <v>12.710185180457801</v>
      </c>
    </row>
    <row r="70" spans="2:5" x14ac:dyDescent="0.25">
      <c r="B70" s="12" t="s">
        <v>41</v>
      </c>
      <c r="C70" s="13" t="s">
        <v>43</v>
      </c>
      <c r="D70" s="14">
        <v>57.53237412451</v>
      </c>
      <c r="E70" s="15">
        <v>0.107617548824498</v>
      </c>
    </row>
    <row r="71" spans="2:5" x14ac:dyDescent="0.25">
      <c r="B71" s="16" t="s">
        <v>0</v>
      </c>
      <c r="C71" s="17" t="s">
        <v>43</v>
      </c>
      <c r="D71" s="18">
        <v>75.329192693288434</v>
      </c>
      <c r="E71" s="19">
        <v>5.0266172278396901</v>
      </c>
    </row>
    <row r="72" spans="2:5" x14ac:dyDescent="0.25">
      <c r="B72" s="16" t="s">
        <v>1</v>
      </c>
      <c r="C72" s="17" t="s">
        <v>43</v>
      </c>
      <c r="D72" s="18">
        <v>159.04366687922271</v>
      </c>
      <c r="E72" s="19">
        <v>20.6268394772957</v>
      </c>
    </row>
    <row r="73" spans="2:5" x14ac:dyDescent="0.25">
      <c r="B73" s="16" t="s">
        <v>2</v>
      </c>
      <c r="C73" s="17" t="s">
        <v>43</v>
      </c>
      <c r="D73" s="18">
        <v>169.4213955647686</v>
      </c>
      <c r="E73" s="19">
        <v>24.226192481376401</v>
      </c>
    </row>
    <row r="74" spans="2:5" x14ac:dyDescent="0.25">
      <c r="B74" s="16" t="s">
        <v>3</v>
      </c>
      <c r="C74" s="17" t="s">
        <v>43</v>
      </c>
      <c r="D74" s="18">
        <v>90.47088537664186</v>
      </c>
      <c r="E74" s="19">
        <v>20.236150329488702</v>
      </c>
    </row>
    <row r="75" spans="2:5" x14ac:dyDescent="0.25">
      <c r="B75" s="16" t="s">
        <v>4</v>
      </c>
      <c r="C75" s="17" t="s">
        <v>43</v>
      </c>
      <c r="D75" s="18">
        <v>69.461292262835485</v>
      </c>
      <c r="E75" s="19">
        <v>15.3473377377977</v>
      </c>
    </row>
    <row r="76" spans="2:5" x14ac:dyDescent="0.25">
      <c r="B76" s="16" t="s">
        <v>5</v>
      </c>
      <c r="C76" s="17" t="s">
        <v>43</v>
      </c>
      <c r="D76" s="18">
        <v>65.74024316226442</v>
      </c>
      <c r="E76" s="19">
        <v>11.6186081718183</v>
      </c>
    </row>
    <row r="77" spans="2:5" x14ac:dyDescent="0.25">
      <c r="B77" s="16" t="s">
        <v>6</v>
      </c>
      <c r="C77" s="17" t="s">
        <v>43</v>
      </c>
      <c r="D77" s="18">
        <v>70.394650522343937</v>
      </c>
      <c r="E77" s="19">
        <v>7.4431696026162202</v>
      </c>
    </row>
    <row r="78" spans="2:5" x14ac:dyDescent="0.25">
      <c r="B78" s="20" t="s">
        <v>89</v>
      </c>
      <c r="C78" s="21" t="s">
        <v>43</v>
      </c>
      <c r="D78" s="25">
        <v>76.756680124693361</v>
      </c>
      <c r="E78" s="23">
        <v>2.5283233688853901</v>
      </c>
    </row>
    <row r="79" spans="2:5" x14ac:dyDescent="0.25">
      <c r="B79" s="12" t="s">
        <v>41</v>
      </c>
      <c r="C79" s="13" t="s">
        <v>21</v>
      </c>
      <c r="D79" s="14">
        <v>2581.309592225969</v>
      </c>
      <c r="E79" s="15">
        <v>15.453987639957999</v>
      </c>
    </row>
    <row r="80" spans="2:5" x14ac:dyDescent="0.25">
      <c r="B80" s="16" t="s">
        <v>0</v>
      </c>
      <c r="C80" s="17" t="s">
        <v>21</v>
      </c>
      <c r="D80" s="18">
        <v>2312.7255534520036</v>
      </c>
      <c r="E80" s="19">
        <v>14.525807934675299</v>
      </c>
    </row>
    <row r="81" spans="2:5" x14ac:dyDescent="0.25">
      <c r="B81" s="16" t="s">
        <v>1</v>
      </c>
      <c r="C81" s="17" t="s">
        <v>21</v>
      </c>
      <c r="D81" s="18">
        <v>2555.3668594870492</v>
      </c>
      <c r="E81" s="19">
        <v>21.024328258535899</v>
      </c>
    </row>
    <row r="82" spans="2:5" x14ac:dyDescent="0.25">
      <c r="B82" s="16" t="s">
        <v>2</v>
      </c>
      <c r="C82" s="17" t="s">
        <v>21</v>
      </c>
      <c r="D82" s="18">
        <v>2753.2117752728941</v>
      </c>
      <c r="E82" s="19">
        <v>23.691195270556101</v>
      </c>
    </row>
    <row r="83" spans="2:5" x14ac:dyDescent="0.25">
      <c r="B83" s="16" t="s">
        <v>3</v>
      </c>
      <c r="C83" s="17" t="s">
        <v>21</v>
      </c>
      <c r="D83" s="18">
        <v>3306.4542492693226</v>
      </c>
      <c r="E83" s="19">
        <v>23.661915686927198</v>
      </c>
    </row>
    <row r="84" spans="2:5" x14ac:dyDescent="0.25">
      <c r="B84" s="16" t="s">
        <v>4</v>
      </c>
      <c r="C84" s="17" t="s">
        <v>21</v>
      </c>
      <c r="D84" s="18">
        <v>4193.5344825965749</v>
      </c>
      <c r="E84" s="19">
        <v>28.200623671810501</v>
      </c>
    </row>
    <row r="85" spans="2:5" x14ac:dyDescent="0.25">
      <c r="B85" s="16" t="s">
        <v>5</v>
      </c>
      <c r="C85" s="17" t="s">
        <v>21</v>
      </c>
      <c r="D85" s="18">
        <v>5293.365697679571</v>
      </c>
      <c r="E85" s="19">
        <v>33.262826581928003</v>
      </c>
    </row>
    <row r="86" spans="2:5" x14ac:dyDescent="0.25">
      <c r="B86" s="16" t="s">
        <v>6</v>
      </c>
      <c r="C86" s="17" t="s">
        <v>21</v>
      </c>
      <c r="D86" s="18">
        <v>6581.6420320563902</v>
      </c>
      <c r="E86" s="19">
        <v>40.6442126191589</v>
      </c>
    </row>
    <row r="87" spans="2:5" x14ac:dyDescent="0.25">
      <c r="B87" s="20" t="s">
        <v>89</v>
      </c>
      <c r="C87" s="21" t="s">
        <v>21</v>
      </c>
      <c r="D87" s="25">
        <v>9010.7536055163455</v>
      </c>
      <c r="E87" s="23">
        <v>45.3942551681533</v>
      </c>
    </row>
    <row r="88" spans="2:5" x14ac:dyDescent="0.25">
      <c r="B88" s="12" t="s">
        <v>41</v>
      </c>
      <c r="C88" s="13" t="s">
        <v>37</v>
      </c>
      <c r="D88" s="14">
        <v>76.262595184607136</v>
      </c>
      <c r="E88" s="15">
        <v>15.2009815742926</v>
      </c>
    </row>
    <row r="89" spans="2:5" x14ac:dyDescent="0.25">
      <c r="B89" s="16" t="s">
        <v>0</v>
      </c>
      <c r="C89" s="17" t="s">
        <v>37</v>
      </c>
      <c r="D89" s="18">
        <v>92.253435468974459</v>
      </c>
      <c r="E89" s="19">
        <v>23.648333881816999</v>
      </c>
    </row>
    <row r="90" spans="2:5" x14ac:dyDescent="0.25">
      <c r="B90" s="16" t="s">
        <v>1</v>
      </c>
      <c r="C90" s="17" t="s">
        <v>37</v>
      </c>
      <c r="D90" s="18">
        <v>163.16640204312321</v>
      </c>
      <c r="E90" s="19">
        <v>41.636812034879</v>
      </c>
    </row>
    <row r="91" spans="2:5" x14ac:dyDescent="0.25">
      <c r="B91" s="16" t="s">
        <v>2</v>
      </c>
      <c r="C91" s="17" t="s">
        <v>37</v>
      </c>
      <c r="D91" s="18">
        <v>168.9268698206898</v>
      </c>
      <c r="E91" s="19">
        <v>45.967188740963699</v>
      </c>
    </row>
    <row r="92" spans="2:5" x14ac:dyDescent="0.25">
      <c r="B92" s="16" t="s">
        <v>3</v>
      </c>
      <c r="C92" s="17" t="s">
        <v>37</v>
      </c>
      <c r="D92" s="18">
        <v>120.91741646489682</v>
      </c>
      <c r="E92" s="19">
        <v>48.871059537925703</v>
      </c>
    </row>
    <row r="93" spans="2:5" x14ac:dyDescent="0.25">
      <c r="B93" s="16" t="s">
        <v>4</v>
      </c>
      <c r="C93" s="17" t="s">
        <v>37</v>
      </c>
      <c r="D93" s="18">
        <v>122.54715972449424</v>
      </c>
      <c r="E93" s="19">
        <v>60.404257130358097</v>
      </c>
    </row>
    <row r="94" spans="2:5" x14ac:dyDescent="0.25">
      <c r="B94" s="16" t="s">
        <v>5</v>
      </c>
      <c r="C94" s="17" t="s">
        <v>37</v>
      </c>
      <c r="D94" s="18">
        <v>136.67389779083308</v>
      </c>
      <c r="E94" s="19">
        <v>74.201312434024601</v>
      </c>
    </row>
    <row r="95" spans="2:5" x14ac:dyDescent="0.25">
      <c r="B95" s="16" t="s">
        <v>6</v>
      </c>
      <c r="C95" s="17" t="s">
        <v>37</v>
      </c>
      <c r="D95" s="18">
        <v>161.17441467149723</v>
      </c>
      <c r="E95" s="19">
        <v>82.366432540222604</v>
      </c>
    </row>
    <row r="96" spans="2:5" x14ac:dyDescent="0.25">
      <c r="B96" s="20" t="s">
        <v>89</v>
      </c>
      <c r="C96" s="21" t="s">
        <v>37</v>
      </c>
      <c r="D96" s="25">
        <v>176.9736732008258</v>
      </c>
      <c r="E96" s="23">
        <v>83.525627607051902</v>
      </c>
    </row>
    <row r="97" spans="2:5" x14ac:dyDescent="0.25">
      <c r="B97" s="12" t="s">
        <v>41</v>
      </c>
      <c r="C97" s="13" t="s">
        <v>28</v>
      </c>
      <c r="D97" s="14">
        <v>131.95180662170293</v>
      </c>
      <c r="E97" s="15">
        <v>84.511089069637904</v>
      </c>
    </row>
    <row r="98" spans="2:5" x14ac:dyDescent="0.25">
      <c r="B98" s="16" t="s">
        <v>0</v>
      </c>
      <c r="C98" s="17" t="s">
        <v>28</v>
      </c>
      <c r="D98" s="18">
        <v>89.976664183944621</v>
      </c>
      <c r="E98" s="19">
        <v>79.110186592292706</v>
      </c>
    </row>
    <row r="99" spans="2:5" x14ac:dyDescent="0.25">
      <c r="B99" s="16" t="s">
        <v>1</v>
      </c>
      <c r="C99" s="17" t="s">
        <v>28</v>
      </c>
      <c r="D99" s="18">
        <v>105.63864007304032</v>
      </c>
      <c r="E99" s="19">
        <v>76.136207184611905</v>
      </c>
    </row>
    <row r="100" spans="2:5" x14ac:dyDescent="0.25">
      <c r="B100" s="16" t="s">
        <v>2</v>
      </c>
      <c r="C100" s="17" t="s">
        <v>28</v>
      </c>
      <c r="D100" s="18">
        <v>120.16458787213426</v>
      </c>
      <c r="E100" s="19">
        <v>78.793464241117604</v>
      </c>
    </row>
    <row r="101" spans="2:5" x14ac:dyDescent="0.25">
      <c r="B101" s="16" t="s">
        <v>3</v>
      </c>
      <c r="C101" s="17" t="s">
        <v>28</v>
      </c>
      <c r="D101" s="18">
        <v>133.8248630445521</v>
      </c>
      <c r="E101" s="19">
        <v>80.204910385395905</v>
      </c>
    </row>
    <row r="102" spans="2:5" x14ac:dyDescent="0.25">
      <c r="B102" s="16" t="s">
        <v>4</v>
      </c>
      <c r="C102" s="17" t="s">
        <v>28</v>
      </c>
      <c r="D102" s="18">
        <v>148.84909254580288</v>
      </c>
      <c r="E102" s="19">
        <v>82.587323201597101</v>
      </c>
    </row>
    <row r="103" spans="2:5" x14ac:dyDescent="0.25">
      <c r="B103" s="16" t="s">
        <v>5</v>
      </c>
      <c r="C103" s="17" t="s">
        <v>28</v>
      </c>
      <c r="D103" s="18">
        <v>161.48599345101093</v>
      </c>
      <c r="E103" s="19">
        <v>86.733678914358094</v>
      </c>
    </row>
    <row r="104" spans="2:5" x14ac:dyDescent="0.25">
      <c r="B104" s="16" t="s">
        <v>6</v>
      </c>
      <c r="C104" s="17" t="s">
        <v>28</v>
      </c>
      <c r="D104" s="18">
        <v>195.53941234412596</v>
      </c>
      <c r="E104" s="19">
        <v>90.483341913367298</v>
      </c>
    </row>
    <row r="105" spans="2:5" x14ac:dyDescent="0.25">
      <c r="B105" s="20" t="s">
        <v>89</v>
      </c>
      <c r="C105" s="21" t="s">
        <v>28</v>
      </c>
      <c r="D105" s="25">
        <v>267.22915015775868</v>
      </c>
      <c r="E105" s="23">
        <v>92.671254907767207</v>
      </c>
    </row>
    <row r="106" spans="2:5" x14ac:dyDescent="0.25">
      <c r="B106" s="12" t="s">
        <v>41</v>
      </c>
      <c r="C106" s="13" t="s">
        <v>29</v>
      </c>
      <c r="D106" s="14">
        <v>57.942246580322283</v>
      </c>
      <c r="E106" s="15">
        <v>21.320629552009901</v>
      </c>
    </row>
    <row r="107" spans="2:5" x14ac:dyDescent="0.25">
      <c r="B107" s="16" t="s">
        <v>0</v>
      </c>
      <c r="C107" s="17" t="s">
        <v>29</v>
      </c>
      <c r="D107" s="18">
        <v>51.719193582665625</v>
      </c>
      <c r="E107" s="19">
        <v>24.499279237585402</v>
      </c>
    </row>
    <row r="108" spans="2:5" x14ac:dyDescent="0.25">
      <c r="B108" s="16" t="s">
        <v>1</v>
      </c>
      <c r="C108" s="17" t="s">
        <v>29</v>
      </c>
      <c r="D108" s="18">
        <v>57.933776961419923</v>
      </c>
      <c r="E108" s="19">
        <v>17.775677228967599</v>
      </c>
    </row>
    <row r="109" spans="2:5" x14ac:dyDescent="0.25">
      <c r="B109" s="16" t="s">
        <v>2</v>
      </c>
      <c r="C109" s="17" t="s">
        <v>29</v>
      </c>
      <c r="D109" s="18">
        <v>60.456351072553375</v>
      </c>
      <c r="E109" s="19">
        <v>19.196670570186001</v>
      </c>
    </row>
    <row r="110" spans="2:5" x14ac:dyDescent="0.25">
      <c r="B110" s="16" t="s">
        <v>3</v>
      </c>
      <c r="C110" s="17" t="s">
        <v>29</v>
      </c>
      <c r="D110" s="18">
        <v>61.898277950822703</v>
      </c>
      <c r="E110" s="19">
        <v>28.250479450439499</v>
      </c>
    </row>
    <row r="111" spans="2:5" x14ac:dyDescent="0.25">
      <c r="B111" s="16" t="s">
        <v>4</v>
      </c>
      <c r="C111" s="17" t="s">
        <v>29</v>
      </c>
      <c r="D111" s="18">
        <v>73.137668491729045</v>
      </c>
      <c r="E111" s="19">
        <v>31.614571127849398</v>
      </c>
    </row>
    <row r="112" spans="2:5" x14ac:dyDescent="0.25">
      <c r="B112" s="16" t="s">
        <v>5</v>
      </c>
      <c r="C112" s="17" t="s">
        <v>29</v>
      </c>
      <c r="D112" s="18">
        <v>95.53693771202488</v>
      </c>
      <c r="E112" s="19">
        <v>37.774230876660901</v>
      </c>
    </row>
    <row r="113" spans="2:5" x14ac:dyDescent="0.25">
      <c r="B113" s="16" t="s">
        <v>6</v>
      </c>
      <c r="C113" s="17" t="s">
        <v>29</v>
      </c>
      <c r="D113" s="18">
        <v>124.37812181528844</v>
      </c>
      <c r="E113" s="19">
        <v>45.3054393470496</v>
      </c>
    </row>
    <row r="114" spans="2:5" x14ac:dyDescent="0.25">
      <c r="B114" s="20" t="s">
        <v>89</v>
      </c>
      <c r="C114" s="21" t="s">
        <v>29</v>
      </c>
      <c r="D114" s="25">
        <v>155.32526460817508</v>
      </c>
      <c r="E114" s="23">
        <v>39.313065765356399</v>
      </c>
    </row>
    <row r="115" spans="2:5" x14ac:dyDescent="0.25">
      <c r="B115" s="12" t="s">
        <v>41</v>
      </c>
      <c r="C115" s="13" t="s">
        <v>8</v>
      </c>
      <c r="D115" s="14">
        <v>260.34709394464033</v>
      </c>
      <c r="E115" s="15">
        <v>13.391854229401099</v>
      </c>
    </row>
    <row r="116" spans="2:5" x14ac:dyDescent="0.25">
      <c r="B116" s="16" t="s">
        <v>0</v>
      </c>
      <c r="C116" s="17" t="s">
        <v>8</v>
      </c>
      <c r="D116" s="18">
        <v>288.74652376745496</v>
      </c>
      <c r="E116" s="19">
        <v>19.6648531091694</v>
      </c>
    </row>
    <row r="117" spans="2:5" x14ac:dyDescent="0.25">
      <c r="B117" s="16" t="s">
        <v>1</v>
      </c>
      <c r="C117" s="17" t="s">
        <v>8</v>
      </c>
      <c r="D117" s="18">
        <v>316.14782746365694</v>
      </c>
      <c r="E117" s="19">
        <v>15.6123882349886</v>
      </c>
    </row>
    <row r="118" spans="2:5" x14ac:dyDescent="0.25">
      <c r="B118" s="16" t="s">
        <v>2</v>
      </c>
      <c r="C118" s="17" t="s">
        <v>8</v>
      </c>
      <c r="D118" s="18">
        <v>341.40579975023564</v>
      </c>
      <c r="E118" s="19">
        <v>15.951469986199699</v>
      </c>
    </row>
    <row r="119" spans="2:5" x14ac:dyDescent="0.25">
      <c r="B119" s="16" t="s">
        <v>3</v>
      </c>
      <c r="C119" s="17" t="s">
        <v>8</v>
      </c>
      <c r="D119" s="18">
        <v>458.22545119987183</v>
      </c>
      <c r="E119" s="19">
        <v>24.413626162437101</v>
      </c>
    </row>
    <row r="120" spans="2:5" x14ac:dyDescent="0.25">
      <c r="B120" s="16" t="s">
        <v>4</v>
      </c>
      <c r="C120" s="17" t="s">
        <v>8</v>
      </c>
      <c r="D120" s="18">
        <v>530.99567529779142</v>
      </c>
      <c r="E120" s="19">
        <v>26.6874148252375</v>
      </c>
    </row>
    <row r="121" spans="2:5" x14ac:dyDescent="0.25">
      <c r="B121" s="16" t="s">
        <v>5</v>
      </c>
      <c r="C121" s="17" t="s">
        <v>8</v>
      </c>
      <c r="D121" s="18">
        <v>527.7224510277772</v>
      </c>
      <c r="E121" s="19">
        <v>23.530778839026699</v>
      </c>
    </row>
    <row r="122" spans="2:5" x14ac:dyDescent="0.25">
      <c r="B122" s="16" t="s">
        <v>6</v>
      </c>
      <c r="C122" s="17" t="s">
        <v>8</v>
      </c>
      <c r="D122" s="18">
        <v>511.7925525976076</v>
      </c>
      <c r="E122" s="19">
        <v>20.784510967650299</v>
      </c>
    </row>
    <row r="123" spans="2:5" x14ac:dyDescent="0.25">
      <c r="B123" s="20" t="s">
        <v>89</v>
      </c>
      <c r="C123" s="21" t="s">
        <v>8</v>
      </c>
      <c r="D123" s="25">
        <v>473.00255000604221</v>
      </c>
      <c r="E123" s="23">
        <v>15.153704374996799</v>
      </c>
    </row>
    <row r="124" spans="2:5" x14ac:dyDescent="0.25">
      <c r="B124" s="12" t="s">
        <v>41</v>
      </c>
      <c r="C124" s="13" t="s">
        <v>30</v>
      </c>
      <c r="D124" s="14">
        <v>83.406404049461742</v>
      </c>
      <c r="E124" s="15">
        <v>10.1542690106865</v>
      </c>
    </row>
    <row r="125" spans="2:5" x14ac:dyDescent="0.25">
      <c r="B125" s="16" t="s">
        <v>0</v>
      </c>
      <c r="C125" s="17" t="s">
        <v>30</v>
      </c>
      <c r="D125" s="18">
        <v>77.158419509567835</v>
      </c>
      <c r="E125" s="19">
        <v>4.5104035842131998</v>
      </c>
    </row>
    <row r="126" spans="2:5" x14ac:dyDescent="0.25">
      <c r="B126" s="16" t="s">
        <v>1</v>
      </c>
      <c r="C126" s="17" t="s">
        <v>30</v>
      </c>
      <c r="D126" s="18">
        <v>84.18262594798378</v>
      </c>
      <c r="E126" s="19">
        <v>4.3121977892220498</v>
      </c>
    </row>
    <row r="127" spans="2:5" x14ac:dyDescent="0.25">
      <c r="B127" s="16" t="s">
        <v>2</v>
      </c>
      <c r="C127" s="17" t="s">
        <v>30</v>
      </c>
      <c r="D127" s="18">
        <v>89.951190167742666</v>
      </c>
      <c r="E127" s="19">
        <v>5.7105842089606602</v>
      </c>
    </row>
    <row r="128" spans="2:5" x14ac:dyDescent="0.25">
      <c r="B128" s="16" t="s">
        <v>3</v>
      </c>
      <c r="C128" s="17" t="s">
        <v>30</v>
      </c>
      <c r="D128" s="18">
        <v>94.459080122694047</v>
      </c>
      <c r="E128" s="19">
        <v>6.4937808646050703</v>
      </c>
    </row>
    <row r="129" spans="2:5" x14ac:dyDescent="0.25">
      <c r="B129" s="16" t="s">
        <v>4</v>
      </c>
      <c r="C129" s="17" t="s">
        <v>30</v>
      </c>
      <c r="D129" s="18">
        <v>96.340003238852674</v>
      </c>
      <c r="E129" s="19">
        <v>8.0740881705805805</v>
      </c>
    </row>
    <row r="130" spans="2:5" x14ac:dyDescent="0.25">
      <c r="B130" s="16" t="s">
        <v>5</v>
      </c>
      <c r="C130" s="17" t="s">
        <v>30</v>
      </c>
      <c r="D130" s="18">
        <v>95.806493913436455</v>
      </c>
      <c r="E130" s="19">
        <v>10.054702888588199</v>
      </c>
    </row>
    <row r="131" spans="2:5" x14ac:dyDescent="0.25">
      <c r="B131" s="16" t="s">
        <v>6</v>
      </c>
      <c r="C131" s="17" t="s">
        <v>30</v>
      </c>
      <c r="D131" s="18">
        <v>94.626158077653002</v>
      </c>
      <c r="E131" s="19">
        <v>11.978161348031801</v>
      </c>
    </row>
    <row r="132" spans="2:5" x14ac:dyDescent="0.25">
      <c r="B132" s="20" t="s">
        <v>89</v>
      </c>
      <c r="C132" s="21" t="s">
        <v>30</v>
      </c>
      <c r="D132" s="25">
        <v>86.131875600994761</v>
      </c>
      <c r="E132" s="23">
        <v>11.5353844268698</v>
      </c>
    </row>
    <row r="133" spans="2:5" x14ac:dyDescent="0.25">
      <c r="B133" s="12" t="s">
        <v>41</v>
      </c>
      <c r="C133" s="13" t="s">
        <v>10</v>
      </c>
      <c r="D133" s="14">
        <v>128.99840000273488</v>
      </c>
      <c r="E133" s="15">
        <v>90.332459634450103</v>
      </c>
    </row>
    <row r="134" spans="2:5" x14ac:dyDescent="0.25">
      <c r="B134" s="16" t="s">
        <v>0</v>
      </c>
      <c r="C134" s="17" t="s">
        <v>10</v>
      </c>
      <c r="D134" s="18">
        <v>165.17362534439852</v>
      </c>
      <c r="E134" s="19">
        <v>80.380987502510905</v>
      </c>
    </row>
    <row r="135" spans="2:5" x14ac:dyDescent="0.25">
      <c r="B135" s="16" t="s">
        <v>1</v>
      </c>
      <c r="C135" s="17" t="s">
        <v>10</v>
      </c>
      <c r="D135" s="18">
        <v>206.4208645288648</v>
      </c>
      <c r="E135" s="19">
        <v>79.259797030966695</v>
      </c>
    </row>
    <row r="136" spans="2:5" x14ac:dyDescent="0.25">
      <c r="B136" s="16" t="s">
        <v>2</v>
      </c>
      <c r="C136" s="17" t="s">
        <v>10</v>
      </c>
      <c r="D136" s="18">
        <v>307.95645868072785</v>
      </c>
      <c r="E136" s="19">
        <v>83.188800344407994</v>
      </c>
    </row>
    <row r="137" spans="2:5" x14ac:dyDescent="0.25">
      <c r="B137" s="16" t="s">
        <v>3</v>
      </c>
      <c r="C137" s="17" t="s">
        <v>10</v>
      </c>
      <c r="D137" s="18">
        <v>427.96239092111171</v>
      </c>
      <c r="E137" s="19">
        <v>84.340643845401701</v>
      </c>
    </row>
    <row r="138" spans="2:5" x14ac:dyDescent="0.25">
      <c r="B138" s="16" t="s">
        <v>4</v>
      </c>
      <c r="C138" s="17" t="s">
        <v>10</v>
      </c>
      <c r="D138" s="18">
        <v>605.42507199669296</v>
      </c>
      <c r="E138" s="19">
        <v>86.772473729827198</v>
      </c>
    </row>
    <row r="139" spans="2:5" x14ac:dyDescent="0.25">
      <c r="B139" s="16" t="s">
        <v>5</v>
      </c>
      <c r="C139" s="17" t="s">
        <v>10</v>
      </c>
      <c r="D139" s="18">
        <v>784.85888002823299</v>
      </c>
      <c r="E139" s="19">
        <v>90.826951934250104</v>
      </c>
    </row>
    <row r="140" spans="2:5" x14ac:dyDescent="0.25">
      <c r="B140" s="16" t="s">
        <v>6</v>
      </c>
      <c r="C140" s="17" t="s">
        <v>10</v>
      </c>
      <c r="D140" s="18">
        <v>1031.4188499158568</v>
      </c>
      <c r="E140" s="19">
        <v>93.590201798454004</v>
      </c>
    </row>
    <row r="141" spans="2:5" x14ac:dyDescent="0.25">
      <c r="B141" s="20" t="s">
        <v>89</v>
      </c>
      <c r="C141" s="21" t="s">
        <v>10</v>
      </c>
      <c r="D141" s="25">
        <v>1081.1844716146848</v>
      </c>
      <c r="E141" s="23">
        <v>95.833541812389299</v>
      </c>
    </row>
    <row r="142" spans="2:5" x14ac:dyDescent="0.25">
      <c r="B142" s="12" t="s">
        <v>41</v>
      </c>
      <c r="C142" s="13" t="s">
        <v>31</v>
      </c>
      <c r="D142" s="14">
        <v>243.29347949601862</v>
      </c>
      <c r="E142" s="15">
        <v>0.94612406972594698</v>
      </c>
    </row>
    <row r="143" spans="2:5" x14ac:dyDescent="0.25">
      <c r="B143" s="16" t="s">
        <v>0</v>
      </c>
      <c r="C143" s="17" t="s">
        <v>31</v>
      </c>
      <c r="D143" s="18">
        <v>287.96189594627884</v>
      </c>
      <c r="E143" s="19">
        <v>1.5781308289103599</v>
      </c>
    </row>
    <row r="144" spans="2:5" x14ac:dyDescent="0.25">
      <c r="B144" s="16" t="s">
        <v>1</v>
      </c>
      <c r="C144" s="17" t="s">
        <v>31</v>
      </c>
      <c r="D144" s="18">
        <v>348.24039817587516</v>
      </c>
      <c r="E144" s="19">
        <v>2.1623580782174998</v>
      </c>
    </row>
    <row r="145" spans="2:5" x14ac:dyDescent="0.25">
      <c r="B145" s="16" t="s">
        <v>2</v>
      </c>
      <c r="C145" s="17" t="s">
        <v>31</v>
      </c>
      <c r="D145" s="18">
        <v>417.89410954584201</v>
      </c>
      <c r="E145" s="19">
        <v>3.2874979088289402</v>
      </c>
    </row>
    <row r="146" spans="2:5" x14ac:dyDescent="0.25">
      <c r="B146" s="16" t="s">
        <v>3</v>
      </c>
      <c r="C146" s="17" t="s">
        <v>31</v>
      </c>
      <c r="D146" s="18">
        <v>444.64916621551822</v>
      </c>
      <c r="E146" s="19">
        <v>4.0978599453730302</v>
      </c>
    </row>
    <row r="147" spans="2:5" x14ac:dyDescent="0.25">
      <c r="B147" s="16" t="s">
        <v>4</v>
      </c>
      <c r="C147" s="17" t="s">
        <v>31</v>
      </c>
      <c r="D147" s="18">
        <v>433.39245537726418</v>
      </c>
      <c r="E147" s="19">
        <v>4.1091827747556096</v>
      </c>
    </row>
    <row r="148" spans="2:5" x14ac:dyDescent="0.25">
      <c r="B148" s="16" t="s">
        <v>5</v>
      </c>
      <c r="C148" s="17" t="s">
        <v>31</v>
      </c>
      <c r="D148" s="18">
        <v>358.94248066916305</v>
      </c>
      <c r="E148" s="19">
        <v>2.7609602267437201</v>
      </c>
    </row>
    <row r="149" spans="2:5" x14ac:dyDescent="0.25">
      <c r="B149" s="16" t="s">
        <v>6</v>
      </c>
      <c r="C149" s="17" t="s">
        <v>31</v>
      </c>
      <c r="D149" s="18">
        <v>270.56980086834454</v>
      </c>
      <c r="E149" s="19">
        <v>2.1648510525827902</v>
      </c>
    </row>
    <row r="150" spans="2:5" x14ac:dyDescent="0.25">
      <c r="B150" s="20" t="s">
        <v>89</v>
      </c>
      <c r="C150" s="21" t="s">
        <v>31</v>
      </c>
      <c r="D150" s="25">
        <v>192.68599438891488</v>
      </c>
      <c r="E150" s="23">
        <v>1.3855092590228899</v>
      </c>
    </row>
    <row r="151" spans="2:5" x14ac:dyDescent="0.25">
      <c r="B151" s="12" t="s">
        <v>41</v>
      </c>
      <c r="C151" s="13" t="s">
        <v>32</v>
      </c>
      <c r="D151" s="14">
        <v>67.409148237801148</v>
      </c>
      <c r="E151" s="15">
        <v>14.0601279279928</v>
      </c>
    </row>
    <row r="152" spans="2:5" x14ac:dyDescent="0.25">
      <c r="B152" s="16" t="s">
        <v>0</v>
      </c>
      <c r="C152" s="17" t="s">
        <v>32</v>
      </c>
      <c r="D152" s="18">
        <v>83.888299942131837</v>
      </c>
      <c r="E152" s="19">
        <v>25.754926125668501</v>
      </c>
    </row>
    <row r="153" spans="2:5" x14ac:dyDescent="0.25">
      <c r="B153" s="16" t="s">
        <v>1</v>
      </c>
      <c r="C153" s="17" t="s">
        <v>32</v>
      </c>
      <c r="D153" s="18">
        <v>104.85384239729997</v>
      </c>
      <c r="E153" s="19">
        <v>25.899509603376</v>
      </c>
    </row>
    <row r="154" spans="2:5" x14ac:dyDescent="0.25">
      <c r="B154" s="16" t="s">
        <v>2</v>
      </c>
      <c r="C154" s="17" t="s">
        <v>32</v>
      </c>
      <c r="D154" s="18">
        <v>119.64966703214873</v>
      </c>
      <c r="E154" s="19">
        <v>31.654614479411201</v>
      </c>
    </row>
    <row r="155" spans="2:5" x14ac:dyDescent="0.25">
      <c r="B155" s="16" t="s">
        <v>3</v>
      </c>
      <c r="C155" s="17" t="s">
        <v>32</v>
      </c>
      <c r="D155" s="18">
        <v>133.92699624702618</v>
      </c>
      <c r="E155" s="19">
        <v>39.7406517352645</v>
      </c>
    </row>
    <row r="156" spans="2:5" x14ac:dyDescent="0.25">
      <c r="B156" s="16" t="s">
        <v>4</v>
      </c>
      <c r="C156" s="17" t="s">
        <v>32</v>
      </c>
      <c r="D156" s="18">
        <v>139.19883800111967</v>
      </c>
      <c r="E156" s="19">
        <v>45.168263534262202</v>
      </c>
    </row>
    <row r="157" spans="2:5" x14ac:dyDescent="0.25">
      <c r="B157" s="16" t="s">
        <v>5</v>
      </c>
      <c r="C157" s="17" t="s">
        <v>32</v>
      </c>
      <c r="D157" s="18">
        <v>144.83548549637109</v>
      </c>
      <c r="E157" s="19">
        <v>48.9117583399536</v>
      </c>
    </row>
    <row r="158" spans="2:5" x14ac:dyDescent="0.25">
      <c r="B158" s="16" t="s">
        <v>6</v>
      </c>
      <c r="C158" s="17" t="s">
        <v>32</v>
      </c>
      <c r="D158" s="18">
        <v>151.49515435416225</v>
      </c>
      <c r="E158" s="19">
        <v>51.306433447536499</v>
      </c>
    </row>
    <row r="159" spans="2:5" x14ac:dyDescent="0.25">
      <c r="B159" s="20" t="s">
        <v>89</v>
      </c>
      <c r="C159" s="21" t="s">
        <v>32</v>
      </c>
      <c r="D159" s="25">
        <v>128.43889455075237</v>
      </c>
      <c r="E159" s="23">
        <v>40.3291075905097</v>
      </c>
    </row>
    <row r="160" spans="2:5" x14ac:dyDescent="0.25">
      <c r="B160" s="12" t="s">
        <v>41</v>
      </c>
      <c r="C160" s="13" t="s">
        <v>7</v>
      </c>
      <c r="D160" s="14">
        <v>127.79081398334924</v>
      </c>
      <c r="E160" s="15">
        <v>26.6205611965358</v>
      </c>
    </row>
    <row r="161" spans="2:5" x14ac:dyDescent="0.25">
      <c r="B161" s="16" t="s">
        <v>0</v>
      </c>
      <c r="C161" s="17" t="s">
        <v>7</v>
      </c>
      <c r="D161" s="18">
        <v>348.85004300175564</v>
      </c>
      <c r="E161" s="19">
        <v>48.333539905082802</v>
      </c>
    </row>
    <row r="162" spans="2:5" x14ac:dyDescent="0.25">
      <c r="B162" s="16" t="s">
        <v>1</v>
      </c>
      <c r="C162" s="17" t="s">
        <v>7</v>
      </c>
      <c r="D162" s="18">
        <v>128.46497226465561</v>
      </c>
      <c r="E162" s="19">
        <v>36.821025565396603</v>
      </c>
    </row>
    <row r="163" spans="2:5" x14ac:dyDescent="0.25">
      <c r="B163" s="16" t="s">
        <v>2</v>
      </c>
      <c r="C163" s="17" t="s">
        <v>7</v>
      </c>
      <c r="D163" s="18">
        <v>129.7648778820097</v>
      </c>
      <c r="E163" s="19">
        <v>43.224508696131302</v>
      </c>
    </row>
    <row r="164" spans="2:5" x14ac:dyDescent="0.25">
      <c r="B164" s="16" t="s">
        <v>3</v>
      </c>
      <c r="C164" s="17" t="s">
        <v>7</v>
      </c>
      <c r="D164" s="18">
        <v>131.57259225425537</v>
      </c>
      <c r="E164" s="19">
        <v>45.382816465817498</v>
      </c>
    </row>
    <row r="165" spans="2:5" x14ac:dyDescent="0.25">
      <c r="B165" s="16" t="s">
        <v>4</v>
      </c>
      <c r="C165" s="17" t="s">
        <v>7</v>
      </c>
      <c r="D165" s="18">
        <v>134.56930244139352</v>
      </c>
      <c r="E165" s="19">
        <v>45.357788507921697</v>
      </c>
    </row>
    <row r="166" spans="2:5" x14ac:dyDescent="0.25">
      <c r="B166" s="16" t="s">
        <v>5</v>
      </c>
      <c r="C166" s="17" t="s">
        <v>7</v>
      </c>
      <c r="D166" s="18">
        <v>130.56645358947395</v>
      </c>
      <c r="E166" s="19">
        <v>44.905569803618597</v>
      </c>
    </row>
    <row r="167" spans="2:5" x14ac:dyDescent="0.25">
      <c r="B167" s="16" t="s">
        <v>6</v>
      </c>
      <c r="C167" s="17" t="s">
        <v>7</v>
      </c>
      <c r="D167" s="18">
        <v>131.00495418577341</v>
      </c>
      <c r="E167" s="19">
        <v>41.258010497227801</v>
      </c>
    </row>
    <row r="168" spans="2:5" x14ac:dyDescent="0.25">
      <c r="B168" s="20" t="s">
        <v>89</v>
      </c>
      <c r="C168" s="21" t="s">
        <v>7</v>
      </c>
      <c r="D168" s="25">
        <v>125.6912132926041</v>
      </c>
      <c r="E168" s="23">
        <v>28.9916421171942</v>
      </c>
    </row>
    <row r="169" spans="2:5" x14ac:dyDescent="0.25">
      <c r="B169" s="12" t="s">
        <v>41</v>
      </c>
      <c r="C169" s="13" t="s">
        <v>38</v>
      </c>
      <c r="D169" s="14">
        <v>499.32622376164699</v>
      </c>
      <c r="E169" s="15">
        <v>1.30823879099717</v>
      </c>
    </row>
    <row r="170" spans="2:5" x14ac:dyDescent="0.25">
      <c r="B170" s="16" t="s">
        <v>0</v>
      </c>
      <c r="C170" s="17" t="s">
        <v>38</v>
      </c>
      <c r="D170" s="18">
        <v>712.28050930597124</v>
      </c>
      <c r="E170" s="19">
        <v>6.6243225108053299</v>
      </c>
    </row>
    <row r="171" spans="2:5" x14ac:dyDescent="0.25">
      <c r="B171" s="16" t="s">
        <v>1</v>
      </c>
      <c r="C171" s="17" t="s">
        <v>38</v>
      </c>
      <c r="D171" s="18">
        <v>859.74026440431135</v>
      </c>
      <c r="E171" s="19">
        <v>3.5263701487652401</v>
      </c>
    </row>
    <row r="172" spans="2:5" x14ac:dyDescent="0.25">
      <c r="B172" s="16" t="s">
        <v>2</v>
      </c>
      <c r="C172" s="17" t="s">
        <v>38</v>
      </c>
      <c r="D172" s="18">
        <v>951.30469414628101</v>
      </c>
      <c r="E172" s="19">
        <v>7.1002523108510802</v>
      </c>
    </row>
    <row r="173" spans="2:5" x14ac:dyDescent="0.25">
      <c r="B173" s="16" t="s">
        <v>3</v>
      </c>
      <c r="C173" s="17" t="s">
        <v>38</v>
      </c>
      <c r="D173" s="18">
        <v>1031.7996701999323</v>
      </c>
      <c r="E173" s="19">
        <v>10.311746299398999</v>
      </c>
    </row>
    <row r="174" spans="2:5" x14ac:dyDescent="0.25">
      <c r="B174" s="16" t="s">
        <v>4</v>
      </c>
      <c r="C174" s="17" t="s">
        <v>38</v>
      </c>
      <c r="D174" s="18">
        <v>1115.8812213968358</v>
      </c>
      <c r="E174" s="19">
        <v>12.915887569916</v>
      </c>
    </row>
    <row r="175" spans="2:5" x14ac:dyDescent="0.25">
      <c r="B175" s="16" t="s">
        <v>5</v>
      </c>
      <c r="C175" s="17" t="s">
        <v>38</v>
      </c>
      <c r="D175" s="18">
        <v>1077.8916882583349</v>
      </c>
      <c r="E175" s="19">
        <v>14.0470101437341</v>
      </c>
    </row>
    <row r="176" spans="2:5" x14ac:dyDescent="0.25">
      <c r="B176" s="16" t="s">
        <v>6</v>
      </c>
      <c r="C176" s="17" t="s">
        <v>38</v>
      </c>
      <c r="D176" s="18">
        <v>1022.2082547477276</v>
      </c>
      <c r="E176" s="19">
        <v>14.9962622610658</v>
      </c>
    </row>
    <row r="177" spans="2:5" x14ac:dyDescent="0.25">
      <c r="B177" s="20" t="s">
        <v>89</v>
      </c>
      <c r="C177" s="21" t="s">
        <v>38</v>
      </c>
      <c r="D177" s="25">
        <v>880.47469886645956</v>
      </c>
      <c r="E177" s="23">
        <v>12.8416801539852</v>
      </c>
    </row>
    <row r="178" spans="2:5" x14ac:dyDescent="0.25">
      <c r="B178" s="12" t="s">
        <v>41</v>
      </c>
      <c r="C178" s="13" t="s">
        <v>40</v>
      </c>
      <c r="D178" s="14">
        <v>166.62488742429727</v>
      </c>
      <c r="E178" s="15">
        <v>67.812880679487506</v>
      </c>
    </row>
    <row r="179" spans="2:5" x14ac:dyDescent="0.25">
      <c r="B179" s="16" t="s">
        <v>0</v>
      </c>
      <c r="C179" s="17" t="s">
        <v>40</v>
      </c>
      <c r="D179" s="18">
        <v>152.24086752639306</v>
      </c>
      <c r="E179" s="19">
        <v>64.157799626588698</v>
      </c>
    </row>
    <row r="180" spans="2:5" x14ac:dyDescent="0.25">
      <c r="B180" s="16" t="s">
        <v>1</v>
      </c>
      <c r="C180" s="17" t="s">
        <v>40</v>
      </c>
      <c r="D180" s="18">
        <v>225.19728497617217</v>
      </c>
      <c r="E180" s="19">
        <v>61.8578109204676</v>
      </c>
    </row>
    <row r="181" spans="2:5" x14ac:dyDescent="0.25">
      <c r="B181" s="16" t="s">
        <v>2</v>
      </c>
      <c r="C181" s="17" t="s">
        <v>40</v>
      </c>
      <c r="D181" s="18">
        <v>267.01664214876564</v>
      </c>
      <c r="E181" s="19">
        <v>70.290389833111007</v>
      </c>
    </row>
    <row r="182" spans="2:5" x14ac:dyDescent="0.25">
      <c r="B182" s="16" t="s">
        <v>3</v>
      </c>
      <c r="C182" s="17" t="s">
        <v>40</v>
      </c>
      <c r="D182" s="18">
        <v>280.9143165324009</v>
      </c>
      <c r="E182" s="19">
        <v>77.0733254125511</v>
      </c>
    </row>
    <row r="183" spans="2:5" x14ac:dyDescent="0.25">
      <c r="B183" s="16" t="s">
        <v>4</v>
      </c>
      <c r="C183" s="17" t="s">
        <v>40</v>
      </c>
      <c r="D183" s="18">
        <v>328.4888719158119</v>
      </c>
      <c r="E183" s="19">
        <v>82.458886196781606</v>
      </c>
    </row>
    <row r="184" spans="2:5" x14ac:dyDescent="0.25">
      <c r="B184" s="16" t="s">
        <v>5</v>
      </c>
      <c r="C184" s="17" t="s">
        <v>40</v>
      </c>
      <c r="D184" s="18">
        <v>394.19552038638005</v>
      </c>
      <c r="E184" s="19">
        <v>87.404887575990799</v>
      </c>
    </row>
    <row r="185" spans="2:5" x14ac:dyDescent="0.25">
      <c r="B185" s="16" t="s">
        <v>6</v>
      </c>
      <c r="C185" s="17" t="s">
        <v>40</v>
      </c>
      <c r="D185" s="18">
        <v>472.10985085904684</v>
      </c>
      <c r="E185" s="19">
        <v>93.544437318944702</v>
      </c>
    </row>
    <row r="186" spans="2:5" x14ac:dyDescent="0.25">
      <c r="B186" s="20" t="s">
        <v>89</v>
      </c>
      <c r="C186" s="21" t="s">
        <v>40</v>
      </c>
      <c r="D186" s="25">
        <v>396.91833697252679</v>
      </c>
      <c r="E186" s="23">
        <v>95.301748090656702</v>
      </c>
    </row>
    <row r="187" spans="2:5" x14ac:dyDescent="0.25">
      <c r="B187" s="16" t="s">
        <v>41</v>
      </c>
      <c r="C187" s="17" t="s">
        <v>23</v>
      </c>
      <c r="D187" s="18">
        <v>1276.9613268593534</v>
      </c>
      <c r="E187" s="19">
        <v>2.0648129182316302</v>
      </c>
    </row>
    <row r="188" spans="2:5" x14ac:dyDescent="0.25">
      <c r="B188" s="16" t="s">
        <v>0</v>
      </c>
      <c r="C188" s="17" t="s">
        <v>23</v>
      </c>
      <c r="D188" s="18">
        <v>915.29404967027131</v>
      </c>
      <c r="E188" s="19">
        <v>2.4690432390287498</v>
      </c>
    </row>
    <row r="189" spans="2:5" x14ac:dyDescent="0.25">
      <c r="B189" s="16" t="s">
        <v>1</v>
      </c>
      <c r="C189" s="17" t="s">
        <v>23</v>
      </c>
      <c r="D189" s="18">
        <v>523.60151793265277</v>
      </c>
      <c r="E189" s="19">
        <v>2.9729407285934699</v>
      </c>
    </row>
    <row r="190" spans="2:5" x14ac:dyDescent="0.25">
      <c r="B190" s="16" t="s">
        <v>2</v>
      </c>
      <c r="C190" s="17" t="s">
        <v>23</v>
      </c>
      <c r="D190" s="18">
        <v>621.15250472180401</v>
      </c>
      <c r="E190" s="19">
        <v>3.7292103338393998</v>
      </c>
    </row>
    <row r="191" spans="2:5" x14ac:dyDescent="0.25">
      <c r="B191" s="16" t="s">
        <v>3</v>
      </c>
      <c r="C191" s="17" t="s">
        <v>23</v>
      </c>
      <c r="D191" s="18">
        <v>783.86983096605525</v>
      </c>
      <c r="E191" s="19">
        <v>5.2155578964321903</v>
      </c>
    </row>
    <row r="192" spans="2:5" x14ac:dyDescent="0.25">
      <c r="B192" s="16" t="s">
        <v>4</v>
      </c>
      <c r="C192" s="17" t="s">
        <v>23</v>
      </c>
      <c r="D192" s="18">
        <v>924.1926753756261</v>
      </c>
      <c r="E192" s="19">
        <v>7.82371449446988</v>
      </c>
    </row>
    <row r="193" spans="2:5" x14ac:dyDescent="0.25">
      <c r="B193" s="16" t="s">
        <v>5</v>
      </c>
      <c r="C193" s="17" t="s">
        <v>23</v>
      </c>
      <c r="D193" s="18">
        <v>994.71768442927805</v>
      </c>
      <c r="E193" s="19">
        <v>11.453181509843301</v>
      </c>
    </row>
    <row r="194" spans="2:5" x14ac:dyDescent="0.25">
      <c r="B194" s="16" t="s">
        <v>6</v>
      </c>
      <c r="C194" s="17" t="s">
        <v>23</v>
      </c>
      <c r="D194" s="18">
        <v>917.61036963892457</v>
      </c>
      <c r="E194" s="19">
        <v>20.496636034959199</v>
      </c>
    </row>
    <row r="195" spans="2:5" x14ac:dyDescent="0.25">
      <c r="B195" s="20" t="s">
        <v>89</v>
      </c>
      <c r="C195" s="21" t="s">
        <v>23</v>
      </c>
      <c r="D195" s="25">
        <v>654.06194206907765</v>
      </c>
      <c r="E195" s="23">
        <v>39.651235812787498</v>
      </c>
    </row>
    <row r="196" spans="2:5" s="114" customFormat="1" x14ac:dyDescent="0.25">
      <c r="B196" s="12" t="s">
        <v>41</v>
      </c>
      <c r="C196" s="13" t="s">
        <v>11</v>
      </c>
      <c r="D196" s="14">
        <v>1126.8856952549995</v>
      </c>
      <c r="E196" s="15">
        <v>98.493802769624395</v>
      </c>
    </row>
    <row r="197" spans="2:5" s="114" customFormat="1" x14ac:dyDescent="0.25">
      <c r="B197" s="16" t="s">
        <v>0</v>
      </c>
      <c r="C197" s="17" t="s">
        <v>11</v>
      </c>
      <c r="D197" s="18">
        <v>1337.2393156577341</v>
      </c>
      <c r="E197" s="19">
        <v>95.432912313650405</v>
      </c>
    </row>
    <row r="198" spans="2:5" s="114" customFormat="1" x14ac:dyDescent="0.25">
      <c r="B198" s="16" t="s">
        <v>1</v>
      </c>
      <c r="C198" s="17" t="s">
        <v>11</v>
      </c>
      <c r="D198" s="18">
        <v>1512.0831654452131</v>
      </c>
      <c r="E198" s="19">
        <v>92.920324389846002</v>
      </c>
    </row>
    <row r="199" spans="2:5" s="114" customFormat="1" x14ac:dyDescent="0.25">
      <c r="B199" s="16" t="s">
        <v>2</v>
      </c>
      <c r="C199" s="17" t="s">
        <v>11</v>
      </c>
      <c r="D199" s="18">
        <v>1942.3028267875811</v>
      </c>
      <c r="E199" s="19">
        <v>94.244526270532702</v>
      </c>
    </row>
    <row r="200" spans="2:5" s="114" customFormat="1" x14ac:dyDescent="0.25">
      <c r="B200" s="16" t="s">
        <v>3</v>
      </c>
      <c r="C200" s="17" t="s">
        <v>11</v>
      </c>
      <c r="D200" s="18">
        <v>2261.1163002927051</v>
      </c>
      <c r="E200" s="19">
        <v>94.097219844939204</v>
      </c>
    </row>
    <row r="201" spans="2:5" s="114" customFormat="1" x14ac:dyDescent="0.25">
      <c r="B201" s="16" t="s">
        <v>4</v>
      </c>
      <c r="C201" s="17" t="s">
        <v>11</v>
      </c>
      <c r="D201" s="18">
        <v>3045.636933874523</v>
      </c>
      <c r="E201" s="19">
        <v>94.011727343910295</v>
      </c>
    </row>
    <row r="202" spans="2:5" s="114" customFormat="1" x14ac:dyDescent="0.25">
      <c r="B202" s="16" t="s">
        <v>5</v>
      </c>
      <c r="C202" s="17" t="s">
        <v>11</v>
      </c>
      <c r="D202" s="18">
        <v>4084.9805138369979</v>
      </c>
      <c r="E202" s="19">
        <v>94.834011073586495</v>
      </c>
    </row>
    <row r="203" spans="2:5" s="114" customFormat="1" x14ac:dyDescent="0.25">
      <c r="B203" s="16" t="s">
        <v>6</v>
      </c>
      <c r="C203" s="17" t="s">
        <v>11</v>
      </c>
      <c r="D203" s="18">
        <v>5801.3250187367576</v>
      </c>
      <c r="E203" s="19">
        <v>95.594537181133404</v>
      </c>
    </row>
    <row r="204" spans="2:5" s="114" customFormat="1" x14ac:dyDescent="0.25">
      <c r="B204" s="20" t="s">
        <v>89</v>
      </c>
      <c r="C204" s="21" t="s">
        <v>11</v>
      </c>
      <c r="D204" s="25">
        <v>8183.2927128576175</v>
      </c>
      <c r="E204" s="23">
        <v>99.520149288022793</v>
      </c>
    </row>
  </sheetData>
  <sortState ref="B7:E231">
    <sortCondition ref="C7:C231"/>
    <sortCondition ref="B7:B231"/>
  </sortState>
  <customSheetViews>
    <customSheetView guid="{6A2E9D47-DC67-47D5-B0E5-D5F68BC84AAF}" scale="90">
      <selection activeCell="B1" sqref="B1"/>
      <pageMargins left="0.7" right="0.7" top="0.75" bottom="0.75" header="0.3" footer="0.3"/>
      <pageSetup paperSize="9" orientation="portrait" r:id="rId1"/>
    </customSheetView>
  </customSheetViews>
  <mergeCells count="2">
    <mergeCell ref="G4:R4"/>
    <mergeCell ref="G5:R5"/>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selection activeCell="B20" sqref="B20:F20"/>
    </sheetView>
  </sheetViews>
  <sheetFormatPr baseColWidth="10" defaultRowHeight="15" x14ac:dyDescent="0.25"/>
  <cols>
    <col min="1" max="1" width="3.28515625" style="114" customWidth="1"/>
    <col min="2" max="2" width="57.42578125" style="114" customWidth="1"/>
    <col min="3" max="3" width="24.140625" style="114" customWidth="1"/>
    <col min="4" max="4" width="28.85546875" style="114" customWidth="1"/>
    <col min="5" max="5" width="26" style="114" customWidth="1"/>
    <col min="6" max="6" width="29.5703125" style="114" customWidth="1"/>
    <col min="7" max="16384" width="11.42578125" style="114"/>
  </cols>
  <sheetData>
    <row r="1" spans="2:17" ht="33.75" customHeight="1" x14ac:dyDescent="0.25">
      <c r="B1" s="136" t="s">
        <v>117</v>
      </c>
      <c r="C1" s="136"/>
      <c r="D1" s="136"/>
      <c r="E1" s="136"/>
      <c r="F1" s="136"/>
      <c r="G1" s="136"/>
      <c r="H1" s="136"/>
      <c r="I1" s="136"/>
      <c r="J1" s="136"/>
      <c r="K1" s="136"/>
      <c r="L1" s="136"/>
      <c r="M1" s="136"/>
      <c r="N1" s="136"/>
      <c r="O1" s="136"/>
      <c r="P1" s="136"/>
      <c r="Q1" s="136"/>
    </row>
    <row r="2" spans="2:17" x14ac:dyDescent="0.25">
      <c r="B2" s="112"/>
      <c r="C2" s="115"/>
      <c r="D2" s="115"/>
      <c r="E2" s="115"/>
      <c r="F2" s="115"/>
    </row>
    <row r="3" spans="2:17" x14ac:dyDescent="0.25">
      <c r="B3" s="29" t="s">
        <v>14</v>
      </c>
      <c r="C3" s="29" t="s">
        <v>39</v>
      </c>
      <c r="D3" s="29" t="s">
        <v>108</v>
      </c>
      <c r="E3" s="36" t="s">
        <v>15</v>
      </c>
      <c r="F3" s="29" t="s">
        <v>16</v>
      </c>
    </row>
    <row r="4" spans="2:17" x14ac:dyDescent="0.25">
      <c r="B4" s="116" t="s">
        <v>37</v>
      </c>
      <c r="C4" s="118">
        <v>140.643</v>
      </c>
      <c r="D4" s="72">
        <v>74.298045405743622</v>
      </c>
      <c r="E4" s="107">
        <v>1.7775502513456054E-2</v>
      </c>
      <c r="F4" s="72">
        <v>25.684179091742926</v>
      </c>
    </row>
    <row r="5" spans="2:17" x14ac:dyDescent="0.25">
      <c r="B5" s="117" t="s">
        <v>28</v>
      </c>
      <c r="C5" s="118">
        <v>143.25800000000001</v>
      </c>
      <c r="D5" s="72">
        <v>76.552094821929671</v>
      </c>
      <c r="E5" s="107">
        <v>3.0183305644361917</v>
      </c>
      <c r="F5" s="72">
        <v>20.429574613634141</v>
      </c>
    </row>
    <row r="6" spans="2:17" x14ac:dyDescent="0.25">
      <c r="B6" s="117" t="s">
        <v>7</v>
      </c>
      <c r="C6" s="118">
        <v>160</v>
      </c>
      <c r="D6" s="72">
        <v>60.892103225161762</v>
      </c>
      <c r="E6" s="107">
        <v>22.855929451147912</v>
      </c>
      <c r="F6" s="72">
        <v>16.251967323690327</v>
      </c>
    </row>
    <row r="7" spans="2:17" x14ac:dyDescent="0.25">
      <c r="B7" s="117" t="s">
        <v>12</v>
      </c>
      <c r="C7" s="118">
        <v>291</v>
      </c>
      <c r="D7" s="72">
        <v>73.419817546650393</v>
      </c>
      <c r="E7" s="107">
        <v>11.306485287513155</v>
      </c>
      <c r="F7" s="72">
        <v>15.273697165836451</v>
      </c>
    </row>
    <row r="8" spans="2:17" x14ac:dyDescent="0.25">
      <c r="B8" s="117" t="s">
        <v>20</v>
      </c>
      <c r="C8" s="118">
        <v>319</v>
      </c>
      <c r="D8" s="72">
        <v>77.093579085196623</v>
      </c>
      <c r="E8" s="107">
        <v>0.46266421917190315</v>
      </c>
      <c r="F8" s="72">
        <v>22.443756695631471</v>
      </c>
    </row>
    <row r="9" spans="2:17" x14ac:dyDescent="0.25">
      <c r="B9" s="117" t="s">
        <v>103</v>
      </c>
      <c r="C9" s="118">
        <v>324</v>
      </c>
      <c r="D9" s="72">
        <v>81.190297173706711</v>
      </c>
      <c r="E9" s="107">
        <v>6.915050966954678</v>
      </c>
      <c r="F9" s="72">
        <v>11.8946518593386</v>
      </c>
    </row>
    <row r="10" spans="2:17" x14ac:dyDescent="0.25">
      <c r="B10" s="117" t="s">
        <v>8</v>
      </c>
      <c r="C10" s="118">
        <v>423</v>
      </c>
      <c r="D10" s="72">
        <v>4.5805184566213866</v>
      </c>
      <c r="E10" s="107">
        <v>93.371762006599923</v>
      </c>
      <c r="F10" s="72">
        <v>2.0477195367786978</v>
      </c>
    </row>
    <row r="11" spans="2:17" x14ac:dyDescent="0.25">
      <c r="B11" s="117" t="s">
        <v>10</v>
      </c>
      <c r="C11" s="118">
        <v>477</v>
      </c>
      <c r="D11" s="72">
        <v>83.040015092124847</v>
      </c>
      <c r="E11" s="107">
        <v>2.1799735887815207E-2</v>
      </c>
      <c r="F11" s="72">
        <v>16.938185171987339</v>
      </c>
    </row>
    <row r="12" spans="2:17" x14ac:dyDescent="0.25">
      <c r="B12" s="51" t="s">
        <v>24</v>
      </c>
      <c r="C12" s="118">
        <v>973</v>
      </c>
      <c r="D12" s="72">
        <v>95.303327996895163</v>
      </c>
      <c r="E12" s="107">
        <v>0.20787852326201914</v>
      </c>
      <c r="F12" s="72">
        <v>4.4887934798428182</v>
      </c>
    </row>
    <row r="13" spans="2:17" x14ac:dyDescent="0.25">
      <c r="B13" s="117" t="s">
        <v>9</v>
      </c>
      <c r="C13" s="118">
        <v>825</v>
      </c>
      <c r="D13" s="72">
        <v>14.571080760400021</v>
      </c>
      <c r="E13" s="107">
        <v>79.105333175815545</v>
      </c>
      <c r="F13" s="72">
        <v>6.3235860637844379</v>
      </c>
    </row>
    <row r="14" spans="2:17" x14ac:dyDescent="0.25">
      <c r="B14" s="117" t="s">
        <v>38</v>
      </c>
      <c r="C14" s="118">
        <v>987</v>
      </c>
      <c r="D14" s="72">
        <v>21.052610252592014</v>
      </c>
      <c r="E14" s="72">
        <v>73.108041715417386</v>
      </c>
      <c r="F14" s="72">
        <v>5.8393480319905997</v>
      </c>
    </row>
    <row r="15" spans="2:17" x14ac:dyDescent="0.25">
      <c r="B15" s="119" t="s">
        <v>21</v>
      </c>
      <c r="C15" s="120">
        <v>4430.6190000000006</v>
      </c>
      <c r="D15" s="71">
        <v>94.471675402466332</v>
      </c>
      <c r="E15" s="71">
        <v>1.566711107409597</v>
      </c>
      <c r="F15" s="72">
        <v>3.9616134901240669</v>
      </c>
    </row>
    <row r="16" spans="2:17" x14ac:dyDescent="0.25">
      <c r="B16" s="119" t="s">
        <v>11</v>
      </c>
      <c r="C16" s="87">
        <v>2684.7780000000002</v>
      </c>
      <c r="D16" s="74">
        <v>81.390342143745215</v>
      </c>
      <c r="E16" s="93">
        <v>6.2066956746516846</v>
      </c>
      <c r="F16" s="74">
        <v>12.402962181603097</v>
      </c>
    </row>
    <row r="18" spans="2:6" x14ac:dyDescent="0.25">
      <c r="B18" s="142" t="s">
        <v>116</v>
      </c>
      <c r="C18" s="142"/>
      <c r="D18" s="142"/>
      <c r="E18" s="142"/>
      <c r="F18" s="142"/>
    </row>
    <row r="19" spans="2:6" ht="28.5" customHeight="1" x14ac:dyDescent="0.25">
      <c r="B19" s="135" t="s">
        <v>71</v>
      </c>
      <c r="C19" s="141"/>
      <c r="D19" s="141"/>
      <c r="E19" s="141"/>
      <c r="F19" s="141"/>
    </row>
    <row r="20" spans="2:6" ht="21.75" customHeight="1" x14ac:dyDescent="0.25">
      <c r="B20" s="141" t="s">
        <v>33</v>
      </c>
      <c r="C20" s="141"/>
      <c r="D20" s="141"/>
      <c r="E20" s="141"/>
      <c r="F20" s="141"/>
    </row>
    <row r="21" spans="2:6" ht="34.5" customHeight="1" x14ac:dyDescent="0.25">
      <c r="B21" s="135" t="s">
        <v>66</v>
      </c>
      <c r="C21" s="141"/>
      <c r="D21" s="141"/>
      <c r="E21" s="141"/>
      <c r="F21" s="141"/>
    </row>
  </sheetData>
  <mergeCells count="5">
    <mergeCell ref="B19:F19"/>
    <mergeCell ref="B21:F21"/>
    <mergeCell ref="B1:Q1"/>
    <mergeCell ref="B20:F20"/>
    <mergeCell ref="B18:F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tabSelected="1" zoomScale="148" zoomScaleNormal="148" workbookViewId="0">
      <selection activeCell="B21" sqref="B21"/>
    </sheetView>
  </sheetViews>
  <sheetFormatPr baseColWidth="10" defaultRowHeight="11.25" x14ac:dyDescent="0.2"/>
  <cols>
    <col min="1" max="1" width="4.7109375" style="7" customWidth="1"/>
    <col min="2" max="2" width="34.7109375" style="7" customWidth="1"/>
    <col min="3" max="3" width="53.140625" style="7" customWidth="1"/>
    <col min="4" max="4" width="40.7109375" style="7" customWidth="1"/>
    <col min="5" max="5" width="32.7109375" style="7" customWidth="1"/>
    <col min="6" max="6" width="17.5703125" style="7" customWidth="1"/>
    <col min="7" max="7" width="49" style="7" customWidth="1"/>
    <col min="8" max="8" width="11.42578125" style="7"/>
    <col min="9" max="9" width="24.5703125" style="7" customWidth="1"/>
    <col min="10" max="16384" width="11.42578125" style="7"/>
  </cols>
  <sheetData>
    <row r="1" spans="2:5" s="1" customFormat="1" ht="15" customHeight="1" x14ac:dyDescent="0.25">
      <c r="B1" s="35" t="s">
        <v>118</v>
      </c>
    </row>
    <row r="2" spans="2:5" ht="12.75" x14ac:dyDescent="0.25">
      <c r="E2" s="132" t="s">
        <v>91</v>
      </c>
    </row>
    <row r="3" spans="2:5" x14ac:dyDescent="0.2">
      <c r="B3" s="148" t="s">
        <v>18</v>
      </c>
      <c r="C3" s="145" t="s">
        <v>92</v>
      </c>
      <c r="D3" s="145" t="s">
        <v>93</v>
      </c>
      <c r="E3" s="150" t="s">
        <v>94</v>
      </c>
    </row>
    <row r="4" spans="2:5" x14ac:dyDescent="0.2">
      <c r="B4" s="149"/>
      <c r="C4" s="146"/>
      <c r="D4" s="146"/>
      <c r="E4" s="151"/>
    </row>
    <row r="5" spans="2:5" x14ac:dyDescent="0.2">
      <c r="B5" s="149"/>
      <c r="C5" s="147"/>
      <c r="D5" s="147"/>
      <c r="E5" s="151"/>
    </row>
    <row r="6" spans="2:5" ht="13.5" x14ac:dyDescent="0.25">
      <c r="B6" s="58" t="s">
        <v>56</v>
      </c>
      <c r="C6" s="59">
        <v>11.8200216254587</v>
      </c>
      <c r="D6" s="59">
        <v>10.696395070538401</v>
      </c>
      <c r="E6" s="59">
        <v>2.57356750498167</v>
      </c>
    </row>
    <row r="7" spans="2:5" ht="13.5" x14ac:dyDescent="0.25">
      <c r="B7" s="54" t="s">
        <v>57</v>
      </c>
      <c r="C7" s="55">
        <v>27.671323603421499</v>
      </c>
      <c r="D7" s="55">
        <v>17.0909490133484</v>
      </c>
      <c r="E7" s="55">
        <v>4.2460215283718803</v>
      </c>
    </row>
    <row r="8" spans="2:5" ht="13.5" x14ac:dyDescent="0.25">
      <c r="B8" s="54" t="s">
        <v>58</v>
      </c>
      <c r="C8" s="55">
        <v>32.254507828110498</v>
      </c>
      <c r="D8" s="55">
        <v>30.285510295177701</v>
      </c>
      <c r="E8" s="55">
        <v>10.2745995172961</v>
      </c>
    </row>
    <row r="9" spans="2:5" ht="13.5" x14ac:dyDescent="0.25">
      <c r="B9" s="54" t="s">
        <v>59</v>
      </c>
      <c r="C9" s="55">
        <v>53.335105529918501</v>
      </c>
      <c r="D9" s="55">
        <v>46.289260291135498</v>
      </c>
      <c r="E9" s="55">
        <v>15.144247925547999</v>
      </c>
    </row>
    <row r="10" spans="2:5" ht="13.5" x14ac:dyDescent="0.25">
      <c r="B10" s="54" t="s">
        <v>60</v>
      </c>
      <c r="C10" s="55">
        <v>71.193609419579602</v>
      </c>
      <c r="D10" s="55">
        <v>58.611205522011197</v>
      </c>
      <c r="E10" s="55">
        <v>23.326584879166099</v>
      </c>
    </row>
    <row r="11" spans="2:5" ht="13.5" x14ac:dyDescent="0.25">
      <c r="B11" s="54" t="s">
        <v>61</v>
      </c>
      <c r="C11" s="55">
        <v>106.85869106574999</v>
      </c>
      <c r="D11" s="55">
        <v>87.321643810528201</v>
      </c>
      <c r="E11" s="55">
        <v>30.778431768267801</v>
      </c>
    </row>
    <row r="12" spans="2:5" ht="13.5" x14ac:dyDescent="0.25">
      <c r="B12" s="54" t="s">
        <v>62</v>
      </c>
      <c r="C12" s="55">
        <v>146.756975566043</v>
      </c>
      <c r="D12" s="55">
        <v>125.295104168462</v>
      </c>
      <c r="E12" s="55">
        <v>48.684077486913999</v>
      </c>
    </row>
    <row r="13" spans="2:5" ht="13.5" x14ac:dyDescent="0.25">
      <c r="B13" s="54" t="s">
        <v>63</v>
      </c>
      <c r="C13" s="55">
        <v>208.87586588945501</v>
      </c>
      <c r="D13" s="55">
        <v>171.849411851257</v>
      </c>
      <c r="E13" s="55">
        <v>61.674797123382703</v>
      </c>
    </row>
    <row r="14" spans="2:5" ht="13.5" x14ac:dyDescent="0.25">
      <c r="B14" s="54" t="s">
        <v>64</v>
      </c>
      <c r="C14" s="55">
        <v>354.05145069633301</v>
      </c>
      <c r="D14" s="55">
        <v>296.64613074442798</v>
      </c>
      <c r="E14" s="55">
        <v>105.434277708959</v>
      </c>
    </row>
    <row r="15" spans="2:5" ht="12.75" x14ac:dyDescent="0.25">
      <c r="B15" s="76" t="s">
        <v>54</v>
      </c>
      <c r="C15" s="55">
        <v>964.95214423309403</v>
      </c>
      <c r="D15" s="55">
        <v>832.69887403561597</v>
      </c>
      <c r="E15" s="55">
        <v>367.61477205578399</v>
      </c>
    </row>
    <row r="16" spans="2:5" ht="12.75" x14ac:dyDescent="0.25">
      <c r="B16" s="76" t="s">
        <v>44</v>
      </c>
      <c r="C16" s="55">
        <v>1330.13988607902</v>
      </c>
      <c r="D16" s="55">
        <v>1158.29977296164</v>
      </c>
      <c r="E16" s="55">
        <v>526.18061605568698</v>
      </c>
    </row>
    <row r="17" spans="2:5" ht="12.75" x14ac:dyDescent="0.25">
      <c r="B17" s="77" t="s">
        <v>55</v>
      </c>
      <c r="C17" s="56">
        <v>2509.2253999171198</v>
      </c>
      <c r="D17" s="56">
        <v>2291.5904325983802</v>
      </c>
      <c r="E17" s="56">
        <v>1123.85809045979</v>
      </c>
    </row>
    <row r="19" spans="2:5" ht="12.75" x14ac:dyDescent="0.2">
      <c r="B19" s="142" t="s">
        <v>90</v>
      </c>
      <c r="C19" s="142"/>
      <c r="D19" s="142"/>
      <c r="E19" s="142"/>
    </row>
    <row r="20" spans="2:5" ht="36.75" customHeight="1" x14ac:dyDescent="0.2">
      <c r="B20" s="153" t="s">
        <v>119</v>
      </c>
      <c r="C20" s="153"/>
      <c r="D20" s="153"/>
      <c r="E20" s="153"/>
    </row>
    <row r="21" spans="2:5" ht="21" customHeight="1" x14ac:dyDescent="0.2">
      <c r="B21" s="35" t="s">
        <v>120</v>
      </c>
      <c r="C21" s="154"/>
    </row>
    <row r="22" spans="2:5" ht="21" customHeight="1" x14ac:dyDescent="0.2">
      <c r="B22" s="35" t="s">
        <v>33</v>
      </c>
    </row>
    <row r="23" spans="2:5" s="1" customFormat="1" ht="20.25" customHeight="1" x14ac:dyDescent="0.25">
      <c r="B23" s="35" t="s">
        <v>65</v>
      </c>
    </row>
  </sheetData>
  <customSheetViews>
    <customSheetView guid="{6A2E9D47-DC67-47D5-B0E5-D5F68BC84AAF}">
      <selection activeCell="B20" sqref="B20:E20"/>
      <pageMargins left="0.7" right="0.7" top="0.75" bottom="0.75" header="0.3" footer="0.3"/>
      <pageSetup paperSize="9" orientation="portrait" r:id="rId1"/>
    </customSheetView>
  </customSheetViews>
  <mergeCells count="6">
    <mergeCell ref="B20:E20"/>
    <mergeCell ref="B19:E19"/>
    <mergeCell ref="C3:C5"/>
    <mergeCell ref="B3:B5"/>
    <mergeCell ref="D3:D5"/>
    <mergeCell ref="E3:E5"/>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Tableau 1</vt:lpstr>
      <vt:lpstr>Graphique 1</vt:lpstr>
      <vt:lpstr>Graphique 2</vt:lpstr>
      <vt:lpstr>Graphique 3</vt:lpstr>
      <vt:lpstr>Tableau complémentaire A</vt:lpstr>
      <vt:lpstr>Tableau complémentaire B</vt:lpstr>
      <vt:lpstr>Tableau complémentaire C</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COMETX, Romain (DREES/OSAM/BAMEDS)</dc:creator>
  <cp:lastModifiedBy>GUHUR, Laureen (DREES/CHEF DE SERVICE/BPC)</cp:lastModifiedBy>
  <dcterms:created xsi:type="dcterms:W3CDTF">2022-11-15T13:48:59Z</dcterms:created>
  <dcterms:modified xsi:type="dcterms:W3CDTF">2022-12-13T15:13:25Z</dcterms:modified>
</cp:coreProperties>
</file>